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Phrep" sheetId="1" r:id="rId1"/>
  </sheets>
  <externalReferences>
    <externalReference r:id="rId2"/>
  </externalReferences>
  <definedNames>
    <definedName name="_xlnm._FilterDatabase" localSheetId="0" hidden="1">Phrep!$A$10:$H$10</definedName>
    <definedName name="DATA1">'[1]Morellato Return'!#REF!</definedName>
    <definedName name="DATA10">'[1]Morellato Return'!#REF!</definedName>
    <definedName name="DATA11">'[1]Morellato Return'!#REF!</definedName>
    <definedName name="DATA12">'[1]Morellato Return'!#REF!</definedName>
    <definedName name="DATA13">'[1]Morellato Return'!#REF!</definedName>
    <definedName name="DATA16">'[1]Morellato Return'!#REF!</definedName>
    <definedName name="DATA17">'[1]Morellato Return'!#REF!</definedName>
    <definedName name="DATA19">'[1]Morellato Return'!#REF!</definedName>
    <definedName name="DATA2">'[1]Morellato Return'!#REF!</definedName>
    <definedName name="DATA20">'[1]Morellato Return'!$D$3:$D$85</definedName>
    <definedName name="DATA24">'[1]Morellato Return'!#REF!</definedName>
    <definedName name="DATA25">'[1]Morellato Return'!#REF!</definedName>
    <definedName name="DATA26">'[1]Morellato Return'!#REF!</definedName>
    <definedName name="DATA27">'[1]Morellato Return'!$H$3:$H$85</definedName>
    <definedName name="DATA3">'[1]Morellato Return'!#REF!</definedName>
    <definedName name="DATA4">'[1]Morellato Return'!#REF!</definedName>
    <definedName name="DATA5">'[1]Morellato Return'!#REF!</definedName>
    <definedName name="DATA6">'[1]Morellato Return'!#REF!</definedName>
    <definedName name="DATA7">'[1]Morellato Return'!#REF!</definedName>
    <definedName name="DATA8">'[1]Morellato Return'!#REF!</definedName>
    <definedName name="DATA9">'[1]Morellato Return'!#REF!</definedName>
    <definedName name="_xlnm.Print_Area" localSheetId="0">Phrep!$A$1:$H$240</definedName>
    <definedName name="_xlnm.Print_Titles" localSheetId="0">Phrep!$1:$2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47" i="1" l="1"/>
  <c r="G81" i="1"/>
  <c r="G73" i="1"/>
  <c r="G94" i="1"/>
  <c r="G200" i="1"/>
  <c r="G75" i="1"/>
  <c r="G187" i="1"/>
  <c r="G22" i="1"/>
  <c r="G4" i="1"/>
  <c r="G83" i="1"/>
  <c r="G114" i="1"/>
  <c r="G165" i="1"/>
  <c r="G135" i="1"/>
  <c r="G224" i="1" l="1"/>
  <c r="J224" i="1" s="1"/>
  <c r="G223" i="1"/>
  <c r="J223" i="1" s="1"/>
  <c r="G222" i="1"/>
  <c r="G221" i="1"/>
  <c r="G220" i="1"/>
  <c r="G225" i="1" l="1"/>
  <c r="I225" i="1" s="1"/>
  <c r="G193" i="1"/>
  <c r="G192" i="1"/>
  <c r="G191" i="1"/>
  <c r="G189" i="1"/>
  <c r="G188" i="1"/>
  <c r="G186" i="1"/>
  <c r="G185" i="1"/>
  <c r="G184" i="1"/>
  <c r="G182" i="1"/>
  <c r="G181" i="1"/>
  <c r="G180" i="1"/>
  <c r="G179" i="1"/>
  <c r="G178" i="1"/>
  <c r="G176" i="1"/>
  <c r="G175" i="1"/>
  <c r="G174" i="1"/>
  <c r="G172" i="1"/>
  <c r="G171" i="1"/>
  <c r="G170" i="1"/>
  <c r="G169" i="1"/>
  <c r="G168" i="1"/>
  <c r="G166" i="1"/>
  <c r="G164" i="1"/>
  <c r="G163" i="1"/>
  <c r="G162" i="1"/>
  <c r="G161" i="1"/>
  <c r="G160" i="1"/>
  <c r="G158" i="1"/>
  <c r="G157" i="1"/>
  <c r="G156" i="1"/>
  <c r="G155" i="1"/>
  <c r="G154" i="1"/>
  <c r="G153" i="1"/>
  <c r="G151" i="1"/>
  <c r="G150" i="1"/>
  <c r="G149" i="1"/>
  <c r="G148" i="1"/>
  <c r="G146" i="1"/>
  <c r="G145" i="1"/>
  <c r="G143" i="1"/>
  <c r="G142" i="1"/>
  <c r="G141" i="1"/>
  <c r="G140" i="1"/>
  <c r="G139" i="1"/>
  <c r="G138" i="1"/>
  <c r="G137" i="1"/>
  <c r="G134" i="1"/>
  <c r="G133" i="1"/>
  <c r="G132" i="1"/>
  <c r="G131" i="1"/>
  <c r="G129" i="1"/>
  <c r="G127" i="1"/>
  <c r="G126" i="1"/>
  <c r="G125" i="1"/>
  <c r="G124" i="1"/>
  <c r="G123" i="1"/>
  <c r="G122" i="1"/>
  <c r="G121" i="1"/>
  <c r="G119" i="1"/>
  <c r="G118" i="1"/>
  <c r="G117" i="1"/>
  <c r="G116" i="1"/>
  <c r="G115" i="1"/>
  <c r="G111" i="1"/>
  <c r="G110" i="1"/>
  <c r="G109" i="1"/>
  <c r="G108" i="1"/>
  <c r="G107" i="1"/>
  <c r="G106" i="1"/>
  <c r="G105" i="1"/>
  <c r="G95" i="1"/>
  <c r="G93" i="1"/>
  <c r="G92" i="1"/>
  <c r="G91" i="1"/>
  <c r="G90" i="1"/>
  <c r="G89" i="1"/>
  <c r="G87" i="1"/>
  <c r="G86" i="1"/>
  <c r="G85" i="1"/>
  <c r="G84" i="1"/>
  <c r="G72" i="1"/>
  <c r="G71" i="1"/>
  <c r="G70" i="1"/>
  <c r="G69" i="1"/>
  <c r="G68" i="1"/>
  <c r="G67" i="1"/>
  <c r="G65" i="1"/>
  <c r="G64" i="1"/>
  <c r="G63" i="1"/>
  <c r="G62" i="1"/>
  <c r="G61" i="1"/>
  <c r="G60" i="1"/>
  <c r="G59" i="1"/>
  <c r="G57" i="1"/>
  <c r="G56" i="1"/>
  <c r="G55" i="1"/>
  <c r="G54" i="1"/>
  <c r="G53" i="1"/>
  <c r="G52" i="1"/>
  <c r="G51" i="1"/>
  <c r="G49" i="1"/>
  <c r="G48" i="1"/>
  <c r="G47" i="1"/>
  <c r="G46" i="1"/>
  <c r="G45" i="1"/>
  <c r="G44" i="1"/>
  <c r="G43" i="1"/>
  <c r="G41" i="1"/>
  <c r="G40" i="1"/>
  <c r="G39" i="1"/>
  <c r="G38" i="1"/>
  <c r="G37" i="1"/>
  <c r="G36" i="1"/>
  <c r="G35" i="1"/>
  <c r="G33" i="1"/>
  <c r="G32" i="1"/>
  <c r="G31" i="1"/>
  <c r="G30" i="1"/>
  <c r="G29" i="1"/>
  <c r="G28" i="1"/>
  <c r="G27" i="1"/>
  <c r="G17" i="1"/>
  <c r="G16" i="1"/>
  <c r="G15" i="1"/>
  <c r="G14" i="1"/>
  <c r="G13" i="1"/>
  <c r="G12" i="1"/>
  <c r="G11" i="1"/>
  <c r="G9" i="1"/>
  <c r="G8" i="1"/>
  <c r="G7" i="1"/>
  <c r="G6" i="1"/>
  <c r="G5" i="1"/>
  <c r="G3" i="1"/>
  <c r="G50" i="1" l="1"/>
  <c r="J218" i="1" l="1"/>
  <c r="J217" i="1"/>
  <c r="J216" i="1"/>
  <c r="J215" i="1"/>
  <c r="J213" i="1"/>
  <c r="J212" i="1"/>
  <c r="J211" i="1"/>
  <c r="J210" i="1"/>
  <c r="J209" i="1"/>
  <c r="J208" i="1"/>
  <c r="J207" i="1"/>
  <c r="J205" i="1"/>
  <c r="J204" i="1"/>
  <c r="J201" i="1"/>
  <c r="J200" i="1"/>
  <c r="J199" i="1"/>
  <c r="J198" i="1"/>
  <c r="J197" i="1"/>
  <c r="J196" i="1"/>
  <c r="J195" i="1"/>
  <c r="J193" i="1"/>
  <c r="J192" i="1"/>
  <c r="J191" i="1"/>
  <c r="J189" i="1"/>
  <c r="J188" i="1"/>
  <c r="J187" i="1"/>
  <c r="J186" i="1"/>
  <c r="J185" i="1"/>
  <c r="J184" i="1"/>
  <c r="J182" i="1"/>
  <c r="J181" i="1"/>
  <c r="J180" i="1"/>
  <c r="J179" i="1"/>
  <c r="J178" i="1"/>
  <c r="J176" i="1"/>
  <c r="J175" i="1"/>
  <c r="J174" i="1"/>
  <c r="J172" i="1"/>
  <c r="J171" i="1"/>
  <c r="J170" i="1"/>
  <c r="J169" i="1"/>
  <c r="J168" i="1"/>
  <c r="J166" i="1"/>
  <c r="J165" i="1"/>
  <c r="J164" i="1"/>
  <c r="J163" i="1"/>
  <c r="J162" i="1"/>
  <c r="J161" i="1"/>
  <c r="J160" i="1"/>
  <c r="J158" i="1"/>
  <c r="J157" i="1"/>
  <c r="J156" i="1"/>
  <c r="J155" i="1"/>
  <c r="J154" i="1"/>
  <c r="J153" i="1"/>
  <c r="J151" i="1"/>
  <c r="J150" i="1"/>
  <c r="J149" i="1"/>
  <c r="J148" i="1"/>
  <c r="J147" i="1"/>
  <c r="J146" i="1"/>
  <c r="J145" i="1"/>
  <c r="J143" i="1"/>
  <c r="J142" i="1"/>
  <c r="J141" i="1"/>
  <c r="J140" i="1"/>
  <c r="J139" i="1"/>
  <c r="J138" i="1"/>
  <c r="J137" i="1"/>
  <c r="J135" i="1"/>
  <c r="J134" i="1"/>
  <c r="J133" i="1"/>
  <c r="J132" i="1"/>
  <c r="J131" i="1"/>
  <c r="J130" i="1"/>
  <c r="J129" i="1"/>
  <c r="J127" i="1"/>
  <c r="J126" i="1"/>
  <c r="J125" i="1"/>
  <c r="J124" i="1"/>
  <c r="J123" i="1"/>
  <c r="J122" i="1"/>
  <c r="J121" i="1"/>
  <c r="J119" i="1"/>
  <c r="J118" i="1"/>
  <c r="J117" i="1"/>
  <c r="J116" i="1"/>
  <c r="J115" i="1"/>
  <c r="J114" i="1"/>
  <c r="J113" i="1"/>
  <c r="J111" i="1"/>
  <c r="J110" i="1"/>
  <c r="J109" i="1"/>
  <c r="J108" i="1"/>
  <c r="J107" i="1"/>
  <c r="J106" i="1"/>
  <c r="J105" i="1"/>
  <c r="J103" i="1"/>
  <c r="J102" i="1"/>
  <c r="J101" i="1"/>
  <c r="J100" i="1"/>
  <c r="J99" i="1"/>
  <c r="J98" i="1"/>
  <c r="J97" i="1"/>
  <c r="J95" i="1"/>
  <c r="J94" i="1"/>
  <c r="J93" i="1"/>
  <c r="J92" i="1"/>
  <c r="J91" i="1"/>
  <c r="J90" i="1"/>
  <c r="J89" i="1"/>
  <c r="J87" i="1"/>
  <c r="J86" i="1"/>
  <c r="J85" i="1"/>
  <c r="J84" i="1"/>
  <c r="J83" i="1"/>
  <c r="J81" i="1"/>
  <c r="J80" i="1"/>
  <c r="J79" i="1"/>
  <c r="J78" i="1"/>
  <c r="J77" i="1"/>
  <c r="J76" i="1"/>
  <c r="J75" i="1"/>
  <c r="J73" i="1"/>
  <c r="J72" i="1"/>
  <c r="J71" i="1"/>
  <c r="J70" i="1"/>
  <c r="J69" i="1"/>
  <c r="J68" i="1"/>
  <c r="J67" i="1"/>
  <c r="J65" i="1"/>
  <c r="J64" i="1"/>
  <c r="J63" i="1"/>
  <c r="J62" i="1"/>
  <c r="J61" i="1"/>
  <c r="J60" i="1"/>
  <c r="J59" i="1"/>
  <c r="J57" i="1"/>
  <c r="J56" i="1"/>
  <c r="J55" i="1"/>
  <c r="J54" i="1"/>
  <c r="J53" i="1"/>
  <c r="J52" i="1"/>
  <c r="J51" i="1"/>
  <c r="J49" i="1"/>
  <c r="J48" i="1"/>
  <c r="J47" i="1"/>
  <c r="J46" i="1"/>
  <c r="J45" i="1"/>
  <c r="J44" i="1"/>
  <c r="J43" i="1"/>
  <c r="J41" i="1"/>
  <c r="J40" i="1"/>
  <c r="J39" i="1"/>
  <c r="J38" i="1"/>
  <c r="J37" i="1"/>
  <c r="J36" i="1"/>
  <c r="J35" i="1"/>
  <c r="J28" i="1"/>
  <c r="J29" i="1"/>
  <c r="J30" i="1"/>
  <c r="J31" i="1"/>
  <c r="J32" i="1"/>
  <c r="J33" i="1"/>
  <c r="J27" i="1"/>
  <c r="J20" i="1"/>
  <c r="J21" i="1"/>
  <c r="J22" i="1"/>
  <c r="J23" i="1"/>
  <c r="J24" i="1"/>
  <c r="J25" i="1"/>
  <c r="J19" i="1"/>
  <c r="J12" i="1"/>
  <c r="J13" i="1"/>
  <c r="J14" i="1"/>
  <c r="J15" i="1"/>
  <c r="J16" i="1"/>
  <c r="J17" i="1"/>
  <c r="J11" i="1"/>
  <c r="J4" i="1"/>
  <c r="J5" i="1"/>
  <c r="J6" i="1"/>
  <c r="J7" i="1"/>
  <c r="J8" i="1"/>
  <c r="J9" i="1"/>
  <c r="J3" i="1"/>
  <c r="G183" i="1"/>
  <c r="I183" i="1" s="1"/>
  <c r="G136" i="1"/>
  <c r="I136" i="1" s="1"/>
  <c r="G120" i="1"/>
  <c r="I120" i="1" s="1"/>
  <c r="G104" i="1"/>
  <c r="I104" i="1" s="1"/>
  <c r="G18" i="1"/>
  <c r="I18" i="1" s="1"/>
  <c r="G202" i="1"/>
  <c r="I202" i="1" s="1"/>
  <c r="G42" i="1"/>
  <c r="I42" i="1" s="1"/>
  <c r="G219" i="1"/>
  <c r="I219" i="1" s="1"/>
  <c r="G66" i="1"/>
  <c r="I66" i="1" s="1"/>
  <c r="G159" i="1"/>
  <c r="I159" i="1" s="1"/>
  <c r="G58" i="1"/>
  <c r="I58" i="1" s="1"/>
  <c r="G10" i="1"/>
  <c r="I10" i="1" s="1"/>
  <c r="G206" i="1"/>
  <c r="I206" i="1" s="1"/>
  <c r="G34" i="1"/>
  <c r="I34" i="1" s="1"/>
  <c r="I50" i="1"/>
  <c r="G82" i="1"/>
  <c r="I82" i="1" s="1"/>
  <c r="G173" i="1"/>
  <c r="I173" i="1" s="1"/>
  <c r="G190" i="1"/>
  <c r="I190" i="1" s="1"/>
  <c r="G96" i="1"/>
  <c r="I96" i="1" s="1"/>
  <c r="G177" i="1"/>
  <c r="I177" i="1" s="1"/>
  <c r="G194" i="1"/>
  <c r="I194" i="1" s="1"/>
  <c r="G128" i="1"/>
  <c r="I128" i="1" s="1"/>
  <c r="G26" i="1"/>
  <c r="I26" i="1" s="1"/>
  <c r="G88" i="1"/>
  <c r="I88" i="1" s="1"/>
  <c r="G214" i="1"/>
  <c r="I214" i="1" s="1"/>
  <c r="G144" i="1"/>
  <c r="I144" i="1" s="1"/>
  <c r="G74" i="1"/>
  <c r="I74" i="1" s="1"/>
  <c r="G167" i="1"/>
  <c r="I167" i="1" s="1"/>
  <c r="G112" i="1"/>
  <c r="I112" i="1" s="1"/>
  <c r="G152" i="1"/>
  <c r="I152" i="1" s="1"/>
  <c r="J227" i="1" l="1"/>
  <c r="I227" i="1"/>
  <c r="G227" i="1" s="1"/>
  <c r="E227" i="1" l="1"/>
</calcChain>
</file>

<file path=xl/sharedStrings.xml><?xml version="1.0" encoding="utf-8"?>
<sst xmlns="http://schemas.openxmlformats.org/spreadsheetml/2006/main" count="653" uniqueCount="233">
  <si>
    <t>Picture</t>
  </si>
  <si>
    <t>Article No.</t>
  </si>
  <si>
    <t>Article Description</t>
  </si>
  <si>
    <t>Color</t>
  </si>
  <si>
    <t>Pieces</t>
  </si>
  <si>
    <t>RRP</t>
  </si>
  <si>
    <t>PH-PH-L-G-A-L</t>
  </si>
  <si>
    <t>Gold</t>
  </si>
  <si>
    <t>PH-PH-L-G-A-M</t>
  </si>
  <si>
    <t>PH-PH-L-G-A-S</t>
  </si>
  <si>
    <t>PH-PH-L-G-A-XL</t>
  </si>
  <si>
    <t>PH-PH-L-G-A-XS</t>
  </si>
  <si>
    <t>PH-PH-L-G-A-XXL</t>
  </si>
  <si>
    <t>PH-PH-L-G-A-XXXL</t>
  </si>
  <si>
    <t>PH-PH-L-G-GR-L</t>
  </si>
  <si>
    <t>PH-PH-L-G-GR-M</t>
  </si>
  <si>
    <t>PH-PH-L-G-GR-S</t>
  </si>
  <si>
    <t>PH-PH-L-G-GR-XL</t>
  </si>
  <si>
    <t>PH-PH-L-G-GR-XS</t>
  </si>
  <si>
    <t>PH-PH-L-G-GR-XXL</t>
  </si>
  <si>
    <t>PH-PH-L-G-GR-XXXL</t>
  </si>
  <si>
    <t>PH-PH-L-G-NI-L</t>
  </si>
  <si>
    <t>PH-PH-L-G-NI-M</t>
  </si>
  <si>
    <t>PH-PH-L-G-NI-S</t>
  </si>
  <si>
    <t>PH-PH-L-G-NI-XL</t>
  </si>
  <si>
    <t>PH-PH-L-G-NI-XS</t>
  </si>
  <si>
    <t>PH-PH-L-G-NI-XXL</t>
  </si>
  <si>
    <t>PH-PH-L-G-NI-XXXL</t>
  </si>
  <si>
    <t>PH-PH-N-G-H-L</t>
  </si>
  <si>
    <t>PH-PH-N-G-H-M</t>
  </si>
  <si>
    <t>PH-PH-N-G-H-S</t>
  </si>
  <si>
    <t>PH-PH-N-G-H-XL</t>
  </si>
  <si>
    <t>PH-PH-N-G-H-XS</t>
  </si>
  <si>
    <t>PH-PH-N-G-H-XXL</t>
  </si>
  <si>
    <t>PH-PH-N-G-H-XXXL</t>
  </si>
  <si>
    <t>PH-PH-L-S-H-XS</t>
  </si>
  <si>
    <t>Silver</t>
  </si>
  <si>
    <t>PH-PH-L-S-H-S</t>
  </si>
  <si>
    <t>PH-PH-L-S-H-M</t>
  </si>
  <si>
    <t>PH-PH-L-S-H-L</t>
  </si>
  <si>
    <t>PH-PH-L-S-H-XL</t>
  </si>
  <si>
    <t>PH-PH-L-S-H-XXL</t>
  </si>
  <si>
    <t>PH-PH-L-S-H-XXXL</t>
  </si>
  <si>
    <t>PH-PH-L-S-Gr-XS</t>
  </si>
  <si>
    <t>PH-PH-L-S-Gr-S</t>
  </si>
  <si>
    <t>PH-PH-L-S-Gr-M</t>
  </si>
  <si>
    <t>PH-PH-L-S-Gr-L</t>
  </si>
  <si>
    <t>PH-PH-L-S-Gr-XL</t>
  </si>
  <si>
    <t>PH-PH-L-S-Gr-XXL</t>
  </si>
  <si>
    <t>PH-PH-L-S-Gr-XXXL</t>
  </si>
  <si>
    <t>PH-PH-N-S-A-XS</t>
  </si>
  <si>
    <t>PH-PH-N-S-A-S</t>
  </si>
  <si>
    <t>PH-PH-N-S-A-XL</t>
  </si>
  <si>
    <t>PH-PH-N-S-A-XXL</t>
  </si>
  <si>
    <t>PH-PH-N-S-A-XXXL</t>
  </si>
  <si>
    <t>PH-PH-N-S-G-XS</t>
  </si>
  <si>
    <t>PH-PH-N-S-G-S</t>
  </si>
  <si>
    <t>PH-PH-N-S-G-M</t>
  </si>
  <si>
    <t>PH-PH-N-S-G-L</t>
  </si>
  <si>
    <t>PH-PH-N-S-G-XL</t>
  </si>
  <si>
    <t>PH-PH-N-S-G-XXL</t>
  </si>
  <si>
    <t>PH-PH-N-S-G-XXXL</t>
  </si>
  <si>
    <t>PH-PH-L-S-Db-XS</t>
  </si>
  <si>
    <t>PH-PH-L-S-Db-S</t>
  </si>
  <si>
    <t>PH-PH-L-S-Db-M</t>
  </si>
  <si>
    <t>PH-PH-L-S-Db-L</t>
  </si>
  <si>
    <t>PH-PH-L-S-Db-XL</t>
  </si>
  <si>
    <t>PH-PH-L-S-Db-XXL</t>
  </si>
  <si>
    <t>PH-PH-L-S-Db-XXXL</t>
  </si>
  <si>
    <t>PH-PH-N-S-Db-XS</t>
  </si>
  <si>
    <t>PH-PH-N-S-Db-S</t>
  </si>
  <si>
    <t>PH-PH-N-S-Db-M</t>
  </si>
  <si>
    <t>PH-PH-N-S-Db-L</t>
  </si>
  <si>
    <t>PH-PH-N-S-Db-XL</t>
  </si>
  <si>
    <t>PH-PH-N-S-Db-XXL</t>
  </si>
  <si>
    <t>PH-PH-N-S-Db-XXXL</t>
  </si>
  <si>
    <t>PH-PH-L-S-A-L</t>
  </si>
  <si>
    <t>Silber</t>
  </si>
  <si>
    <t>PH-PH-L-S-A-M</t>
  </si>
  <si>
    <t>PH-PH-L-S-A-S</t>
  </si>
  <si>
    <t>PH-PH-L-S-A-XL</t>
  </si>
  <si>
    <t>PH-PH-L-S-A-XS</t>
  </si>
  <si>
    <t>PH-PH-L-S-A-XXL</t>
  </si>
  <si>
    <t>PH-PH-L-S-A-XXXL</t>
  </si>
  <si>
    <t>PH-PH-L-S-BS-M</t>
  </si>
  <si>
    <t>PH-PH-L-S-BS-XL</t>
  </si>
  <si>
    <t>PH-PH-L-S-BS-XXL</t>
  </si>
  <si>
    <t>PH-PH-L-S-CB-L</t>
  </si>
  <si>
    <t>PH-PH-L-S-CB-S</t>
  </si>
  <si>
    <t>PH-PH-L-S-CB-XL</t>
  </si>
  <si>
    <t>PH-PH-L-S-NI-L</t>
  </si>
  <si>
    <t>PH-PH-L-S-NI-M</t>
  </si>
  <si>
    <t>PH-PH-L-S-NI-S</t>
  </si>
  <si>
    <t>PH-PH-L-S-NI-XL</t>
  </si>
  <si>
    <t>PH-PH-L-S-NI-XS</t>
  </si>
  <si>
    <t>PH-PH-L-S-NI-XXL</t>
  </si>
  <si>
    <t>PH-PH-L-S-NI-XXXL</t>
  </si>
  <si>
    <t>PH-PH-L-S-PR-L</t>
  </si>
  <si>
    <t>PH-PH-L-S-PR-M</t>
  </si>
  <si>
    <t>PH-PH-L-S-PR-S</t>
  </si>
  <si>
    <t>PH-PH-L-S-PR-XL</t>
  </si>
  <si>
    <t>PH-PH-L-S-PR-XS</t>
  </si>
  <si>
    <t>PH-PH-L-S-PR-XXL</t>
  </si>
  <si>
    <t>PH-PH-L-S-PR-XXXL</t>
  </si>
  <si>
    <t>PH-PH-L-S-P-L</t>
  </si>
  <si>
    <t>PH-PH-L-S-P-M</t>
  </si>
  <si>
    <t>PH-PH-L-S-P-S</t>
  </si>
  <si>
    <t>PH-PH-L-S-P-XL</t>
  </si>
  <si>
    <t>PH-PH-L-S-P-XXL</t>
  </si>
  <si>
    <t>PH-PH-N-S-BS-L</t>
  </si>
  <si>
    <t>PH-PH-N-S-BS-S</t>
  </si>
  <si>
    <t>PH-PH-N-S-BS-XL</t>
  </si>
  <si>
    <t>PH-PH-N-S-BS-XS</t>
  </si>
  <si>
    <t>PH-PH-N-S-BS-XXL</t>
  </si>
  <si>
    <t>PH-PH-N-S-BS-XXXL</t>
  </si>
  <si>
    <t>PH-PH-N-S-CB-L</t>
  </si>
  <si>
    <t>PH-PH-N-S-CB-S</t>
  </si>
  <si>
    <t>PH-PH-N-S-CB-XL</t>
  </si>
  <si>
    <t>PH-PH-N-S-CB-XXL</t>
  </si>
  <si>
    <t>PH-PH-N-S-CB-XXXL</t>
  </si>
  <si>
    <t>PH-PH-N-S-H-L</t>
  </si>
  <si>
    <t>PH-PH-N-S-H-M</t>
  </si>
  <si>
    <t>PH-PH-N-S-H-S</t>
  </si>
  <si>
    <t>PH-PH-N-S-H-XL</t>
  </si>
  <si>
    <t>PH-PH-N-S-H-XS</t>
  </si>
  <si>
    <t>PH-PH-N-S-H-XXL</t>
  </si>
  <si>
    <t>PH-PH-N-S-H-XXXL</t>
  </si>
  <si>
    <t>PH-PH-N-S-NI-L</t>
  </si>
  <si>
    <t>PH-PH-N-S-NI-M</t>
  </si>
  <si>
    <t>PH-PH-N-S-NI-S</t>
  </si>
  <si>
    <t>PH-PH-N-S-NI-XL</t>
  </si>
  <si>
    <t>PH-PH-N-S-NI-XS</t>
  </si>
  <si>
    <t>PH-PH-N-S-NI-XXL</t>
  </si>
  <si>
    <t>PH-PH-N-S-NI-XXXL</t>
  </si>
  <si>
    <t>PH-PH-N-S-TS-S</t>
  </si>
  <si>
    <t>PH-PH-N-S-TS-XXL</t>
  </si>
  <si>
    <t>PH-PH-L-R-Pr-XS</t>
  </si>
  <si>
    <t>PH-PH-L-R-Pr-S</t>
  </si>
  <si>
    <t>PH-PH-L-R-Pr-M</t>
  </si>
  <si>
    <t>PH-PH-L-R-Pr-L</t>
  </si>
  <si>
    <t>PH-PH-L-R-Pr-XL</t>
  </si>
  <si>
    <t>PH-PH-L-R-Pr-XXL</t>
  </si>
  <si>
    <t>PH-PH-L-R-Pr-XXXL</t>
  </si>
  <si>
    <t>PH-PH-L-R-A-XS</t>
  </si>
  <si>
    <t>PH-PH-L-R-A-S</t>
  </si>
  <si>
    <t>PH-PH-L-R-A-M</t>
  </si>
  <si>
    <t>PH-PH-L-R-A-L</t>
  </si>
  <si>
    <t>PH-PH-L-R-A-XL</t>
  </si>
  <si>
    <t>PH-PH-L-R-A-XXL</t>
  </si>
  <si>
    <t>PH-PH-L-R-A-XXXL</t>
  </si>
  <si>
    <t>PH-PH-N-R-A-XS</t>
  </si>
  <si>
    <t>PH-PH-N-R-A-S</t>
  </si>
  <si>
    <t>PH-PH-N-R-A-XL</t>
  </si>
  <si>
    <t>PH-PH-N-R-A-XXL</t>
  </si>
  <si>
    <t>PH-PH-N-R-A-XXXL</t>
  </si>
  <si>
    <t>PH-PH-L-R-Db-XS</t>
  </si>
  <si>
    <t>PH-PH-L-R-Db-S</t>
  </si>
  <si>
    <t>PH-PH-L-R-Db-M</t>
  </si>
  <si>
    <t>PH-PH-L-R-Db-L</t>
  </si>
  <si>
    <t>PH-PH-L-R-Db-XL</t>
  </si>
  <si>
    <t>PH-PH-L-R-Db-XXL</t>
  </si>
  <si>
    <t>PH-PH-L-R-Db-XXXL</t>
  </si>
  <si>
    <t>PH-PH-N-R-Db-XS</t>
  </si>
  <si>
    <t>PH-PH-N-R-Db-S</t>
  </si>
  <si>
    <t>PH-PH-N-R-Db-M</t>
  </si>
  <si>
    <t>PH-PH-N-R-Db-L</t>
  </si>
  <si>
    <t>PH-PH-N-R-Db-XL</t>
  </si>
  <si>
    <t>PH-PH-N-R-Db-XXL</t>
  </si>
  <si>
    <t>PH-PH-N-R-Db-XXXL</t>
  </si>
  <si>
    <t>PH-PH-L-R-BS-L</t>
  </si>
  <si>
    <t>Roségold</t>
  </si>
  <si>
    <t>PH-PH-L-R-BS-M</t>
  </si>
  <si>
    <t>PH-PH-L-R-BS-S</t>
  </si>
  <si>
    <t>PH-PH-L-R-BS-XL</t>
  </si>
  <si>
    <t>PH-PH-L-R-BS-XXL</t>
  </si>
  <si>
    <t>PH-PH-L-R-BS-XXXL</t>
  </si>
  <si>
    <t>PH-PH-L-R-NI-L</t>
  </si>
  <si>
    <t>PH-PH-L-R-NI-M</t>
  </si>
  <si>
    <t>PH-PH-L-R-NI-S</t>
  </si>
  <si>
    <t>PH-PH-L-R-NI-XL</t>
  </si>
  <si>
    <t>PH-PH-L-R-NI-XS</t>
  </si>
  <si>
    <t>PH-PH-L-R-NI-XXL</t>
  </si>
  <si>
    <t>PH-PH-L-R-NI-XXXL</t>
  </si>
  <si>
    <t>PH-PH-N-R-BS-L</t>
  </si>
  <si>
    <t>PH-PH-N-R-BS-XL</t>
  </si>
  <si>
    <t>PH-PH-N-R-BS-XS</t>
  </si>
  <si>
    <t>PH-PH-N-R-BS-XXL</t>
  </si>
  <si>
    <t>PH-PH-N-R-NI-L</t>
  </si>
  <si>
    <t>PH-PH-N-R-NI-M</t>
  </si>
  <si>
    <t>PH-PH-N-R-NI-S</t>
  </si>
  <si>
    <t>PH-PH-N-R-NI-XL</t>
  </si>
  <si>
    <t>PH-PH-N-R-NI-XS</t>
  </si>
  <si>
    <t>PH-PH-N-R-NI-XXL</t>
  </si>
  <si>
    <t>PH-PH-N-R-NI-XXXL</t>
  </si>
  <si>
    <t>PH-PH-N-R-G-XS</t>
  </si>
  <si>
    <t>PH-PH-N-R-G-S</t>
  </si>
  <si>
    <t>PH-PH-N-R-G-M</t>
  </si>
  <si>
    <t>PH-PH-N-R-G-L</t>
  </si>
  <si>
    <t>PH-PH-N-R-G-XL</t>
  </si>
  <si>
    <t>PH-PH-N-R-G-XXL</t>
  </si>
  <si>
    <t>PH-PH-N-R-G-XXXL</t>
  </si>
  <si>
    <t>Grand total</t>
  </si>
  <si>
    <t>Total RRP</t>
  </si>
  <si>
    <t>EAN</t>
  </si>
  <si>
    <t>TOTAL</t>
  </si>
  <si>
    <t>"Phrep"-Armbänder / Iconic "Phrep" bracelets</t>
  </si>
  <si>
    <t>Leder / Leather</t>
  </si>
  <si>
    <t>Rosa - Aurora</t>
  </si>
  <si>
    <t>Pink-Rosa - Pink-rose</t>
  </si>
  <si>
    <t>Dunkelrot - dark berry</t>
  </si>
  <si>
    <t>Nylon</t>
  </si>
  <si>
    <t>Hellblau - light blue</t>
  </si>
  <si>
    <t>Haselnussbraun - Haselnut</t>
  </si>
  <si>
    <t>Hellrosa - light rose</t>
  </si>
  <si>
    <t>Gold - gold - stainless steel</t>
  </si>
  <si>
    <t>Silber - silver - stainless steel</t>
  </si>
  <si>
    <t>Roségold - rosegold - stainless steel</t>
  </si>
  <si>
    <t>Pink - pink</t>
  </si>
  <si>
    <t>Grau - grey</t>
  </si>
  <si>
    <t>Koralle - coral</t>
  </si>
  <si>
    <t>Rosa - aurora</t>
  </si>
  <si>
    <t>Grün - green</t>
  </si>
  <si>
    <t>Türkis - turquoise</t>
  </si>
  <si>
    <t>Length (cm)</t>
  </si>
  <si>
    <t>15 - 16 cm</t>
  </si>
  <si>
    <t>17 - 18 cm</t>
  </si>
  <si>
    <t>19 - 20 cm</t>
  </si>
  <si>
    <t>20 - 21 cm</t>
  </si>
  <si>
    <t>14 - 15 cm</t>
  </si>
  <si>
    <t>16 - 17 cm</t>
  </si>
  <si>
    <t>18 - 19 cm</t>
  </si>
  <si>
    <t>avg. RRP</t>
  </si>
  <si>
    <t>All bracelets come with these tags and a neutral box. (Braclet NOT inside box, but separate).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</si>
</sst>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€&quot;_-;\-* #,##0.00\ &quot;€&quot;_-;_-* &quot;-&quot;??\ &quot;€&quot;_-;_-@_-"/>
    <numFmt numFmtId="164" formatCode="_-* #,##0.00_-;\-* #,##0.00_-;_-* &quot;-&quot;??_-;_-@_-"/>
    <numFmt numFmtId="165" formatCode="_-* #,##0_-;\-* #,##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name val="Calibri"/>
      <family val="2"/>
      <scheme val="minor"/>
    </font>
    <font>
      <b/>
      <sz val="11"/>
      <color theme="1"/>
      <name val="Calibri"/>
      <family val="2"/>
    </font>
    <font>
      <b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27">
    <xf numFmtId="0" fontId="0" fillId="0" borderId="0" xfId="0"/>
    <xf numFmtId="0" fontId="0" fillId="0" borderId="0" xfId="0" applyAlignment="1">
      <alignment vertical="center"/>
    </xf>
    <xf numFmtId="44" fontId="0" fillId="0" borderId="0" xfId="1" applyFont="1" applyAlignment="1">
      <alignment vertical="center"/>
    </xf>
    <xf numFmtId="44" fontId="0" fillId="0" borderId="3" xfId="1" applyFont="1" applyBorder="1" applyAlignment="1">
      <alignment vertical="center"/>
    </xf>
    <xf numFmtId="0" fontId="0" fillId="0" borderId="5" xfId="0" applyBorder="1" applyAlignment="1">
      <alignment vertical="center"/>
    </xf>
    <xf numFmtId="44" fontId="0" fillId="0" borderId="6" xfId="1" applyFont="1" applyBorder="1" applyAlignment="1">
      <alignment vertical="center"/>
    </xf>
    <xf numFmtId="0" fontId="0" fillId="0" borderId="8" xfId="0" applyBorder="1" applyAlignment="1">
      <alignment vertical="center"/>
    </xf>
    <xf numFmtId="44" fontId="0" fillId="0" borderId="9" xfId="1" applyFont="1" applyBorder="1" applyAlignment="1">
      <alignment vertical="center"/>
    </xf>
    <xf numFmtId="0" fontId="0" fillId="0" borderId="2" xfId="0" applyBorder="1" applyAlignment="1">
      <alignment vertical="center" wrapText="1"/>
    </xf>
    <xf numFmtId="0" fontId="2" fillId="0" borderId="0" xfId="0" applyFont="1"/>
    <xf numFmtId="0" fontId="2" fillId="2" borderId="1" xfId="0" applyFont="1" applyFill="1" applyBorder="1" applyAlignment="1">
      <alignment horizontal="center"/>
    </xf>
    <xf numFmtId="0" fontId="4" fillId="3" borderId="0" xfId="0" applyFont="1" applyFill="1"/>
    <xf numFmtId="0" fontId="0" fillId="3" borderId="0" xfId="0" applyFill="1"/>
    <xf numFmtId="44" fontId="2" fillId="0" borderId="0" xfId="0" applyNumberFormat="1" applyFont="1"/>
    <xf numFmtId="0" fontId="2" fillId="3" borderId="0" xfId="0" applyFont="1" applyFill="1"/>
    <xf numFmtId="0" fontId="2" fillId="3" borderId="0" xfId="0" applyFont="1" applyFill="1" applyAlignment="1">
      <alignment vertical="center"/>
    </xf>
    <xf numFmtId="44" fontId="7" fillId="3" borderId="0" xfId="1" applyFont="1" applyFill="1" applyAlignment="1">
      <alignment vertical="center"/>
    </xf>
    <xf numFmtId="44" fontId="2" fillId="3" borderId="0" xfId="0" applyNumberFormat="1" applyFont="1" applyFill="1"/>
    <xf numFmtId="1" fontId="0" fillId="0" borderId="0" xfId="0" applyNumberFormat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1" fontId="3" fillId="0" borderId="8" xfId="0" applyNumberFormat="1" applyFont="1" applyBorder="1" applyAlignment="1">
      <alignment horizontal="center" vertical="center"/>
    </xf>
    <xf numFmtId="1" fontId="3" fillId="0" borderId="0" xfId="0" applyNumberFormat="1" applyFont="1" applyAlignment="1">
      <alignment horizontal="center" vertical="center"/>
    </xf>
    <xf numFmtId="1" fontId="3" fillId="0" borderId="5" xfId="0" applyNumberFormat="1" applyFont="1" applyBorder="1" applyAlignment="1">
      <alignment horizontal="center" vertical="center"/>
    </xf>
    <xf numFmtId="1" fontId="2" fillId="3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3" borderId="0" xfId="0" applyFont="1" applyFill="1" applyAlignment="1">
      <alignment horizontal="center" wrapText="1"/>
    </xf>
    <xf numFmtId="0" fontId="0" fillId="0" borderId="0" xfId="0" applyAlignment="1">
      <alignment horizontal="center" wrapText="1"/>
    </xf>
    <xf numFmtId="44" fontId="0" fillId="0" borderId="0" xfId="0" applyNumberFormat="1" applyAlignment="1">
      <alignment vertical="center"/>
    </xf>
    <xf numFmtId="0" fontId="0" fillId="3" borderId="0" xfId="0" applyFill="1" applyAlignment="1">
      <alignment vertical="center"/>
    </xf>
    <xf numFmtId="44" fontId="2" fillId="3" borderId="0" xfId="0" applyNumberFormat="1" applyFont="1" applyFill="1" applyAlignment="1">
      <alignment vertical="center"/>
    </xf>
    <xf numFmtId="0" fontId="3" fillId="0" borderId="0" xfId="0" applyFont="1"/>
    <xf numFmtId="1" fontId="2" fillId="2" borderId="15" xfId="0" applyNumberFormat="1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vertical="center"/>
    </xf>
    <xf numFmtId="3" fontId="2" fillId="2" borderId="15" xfId="0" applyNumberFormat="1" applyFont="1" applyFill="1" applyBorder="1" applyAlignment="1">
      <alignment horizontal="center" vertical="center"/>
    </xf>
    <xf numFmtId="44" fontId="2" fillId="2" borderId="16" xfId="1" applyFont="1" applyFill="1" applyBorder="1" applyAlignment="1">
      <alignment horizontal="center" vertical="center"/>
    </xf>
    <xf numFmtId="49" fontId="2" fillId="4" borderId="10" xfId="0" applyNumberFormat="1" applyFont="1" applyFill="1" applyBorder="1" applyAlignment="1">
      <alignment horizontal="center" wrapText="1"/>
    </xf>
    <xf numFmtId="0" fontId="0" fillId="4" borderId="10" xfId="0" applyFill="1" applyBorder="1" applyAlignment="1">
      <alignment vertical="center" wrapText="1"/>
    </xf>
    <xf numFmtId="1" fontId="0" fillId="4" borderId="11" xfId="0" applyNumberFormat="1" applyFill="1" applyBorder="1" applyAlignment="1">
      <alignment horizontal="center" vertical="center" wrapText="1"/>
    </xf>
    <xf numFmtId="0" fontId="0" fillId="4" borderId="11" xfId="0" applyFill="1" applyBorder="1" applyAlignment="1">
      <alignment horizontal="center" vertical="center" wrapText="1"/>
    </xf>
    <xf numFmtId="0" fontId="0" fillId="4" borderId="11" xfId="0" applyFill="1" applyBorder="1" applyAlignment="1">
      <alignment vertical="center"/>
    </xf>
    <xf numFmtId="44" fontId="0" fillId="4" borderId="12" xfId="1" applyFont="1" applyFill="1" applyBorder="1" applyAlignment="1">
      <alignment vertical="center"/>
    </xf>
    <xf numFmtId="0" fontId="8" fillId="4" borderId="10" xfId="0" applyFont="1" applyFill="1" applyBorder="1" applyAlignment="1">
      <alignment horizontal="center"/>
    </xf>
    <xf numFmtId="1" fontId="3" fillId="4" borderId="11" xfId="0" applyNumberFormat="1" applyFont="1" applyFill="1" applyBorder="1" applyAlignment="1">
      <alignment horizontal="center" vertical="center"/>
    </xf>
    <xf numFmtId="1" fontId="0" fillId="0" borderId="0" xfId="0" applyNumberFormat="1"/>
    <xf numFmtId="1" fontId="2" fillId="3" borderId="0" xfId="0" applyNumberFormat="1" applyFont="1" applyFill="1"/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" fontId="0" fillId="3" borderId="0" xfId="0" applyNumberFormat="1" applyFill="1" applyAlignment="1">
      <alignment horizontal="center" vertical="center" wrapText="1"/>
    </xf>
    <xf numFmtId="44" fontId="0" fillId="3" borderId="3" xfId="1" applyFont="1" applyFill="1" applyBorder="1" applyAlignment="1">
      <alignment vertical="center"/>
    </xf>
    <xf numFmtId="0" fontId="2" fillId="3" borderId="0" xfId="0" applyFont="1" applyFill="1" applyAlignment="1">
      <alignment horizontal="center" vertical="center" wrapText="1"/>
    </xf>
    <xf numFmtId="49" fontId="2" fillId="3" borderId="18" xfId="0" applyNumberFormat="1" applyFont="1" applyFill="1" applyBorder="1" applyAlignment="1">
      <alignment horizontal="center" wrapText="1"/>
    </xf>
    <xf numFmtId="49" fontId="2" fillId="4" borderId="22" xfId="0" applyNumberFormat="1" applyFont="1" applyFill="1" applyBorder="1" applyAlignment="1">
      <alignment horizontal="center" wrapText="1"/>
    </xf>
    <xf numFmtId="49" fontId="2" fillId="4" borderId="21" xfId="0" applyNumberFormat="1" applyFont="1" applyFill="1" applyBorder="1" applyAlignment="1">
      <alignment horizontal="center" wrapText="1"/>
    </xf>
    <xf numFmtId="44" fontId="0" fillId="0" borderId="6" xfId="1" applyFont="1" applyBorder="1" applyAlignment="1">
      <alignment horizontal="center" vertical="center"/>
    </xf>
    <xf numFmtId="0" fontId="0" fillId="0" borderId="13" xfId="0" applyBorder="1" applyAlignment="1">
      <alignment vertical="center"/>
    </xf>
    <xf numFmtId="44" fontId="0" fillId="0" borderId="14" xfId="1" applyFont="1" applyBorder="1" applyAlignment="1">
      <alignment vertical="center"/>
    </xf>
    <xf numFmtId="0" fontId="0" fillId="4" borderId="11" xfId="0" applyFill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3" fontId="0" fillId="0" borderId="5" xfId="0" applyNumberFormat="1" applyBorder="1" applyAlignment="1">
      <alignment horizontal="center" vertical="center"/>
    </xf>
    <xf numFmtId="3" fontId="2" fillId="4" borderId="11" xfId="0" applyNumberFormat="1" applyFont="1" applyFill="1" applyBorder="1" applyAlignment="1">
      <alignment horizontal="center" vertical="center"/>
    </xf>
    <xf numFmtId="3" fontId="0" fillId="0" borderId="8" xfId="0" applyNumberFormat="1" applyBorder="1" applyAlignment="1">
      <alignment horizontal="center" vertical="center"/>
    </xf>
    <xf numFmtId="3" fontId="0" fillId="0" borderId="13" xfId="0" applyNumberFormat="1" applyBorder="1" applyAlignment="1">
      <alignment horizontal="center" vertical="center"/>
    </xf>
    <xf numFmtId="3" fontId="2" fillId="3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0" fontId="0" fillId="0" borderId="5" xfId="0" applyBorder="1" applyAlignment="1">
      <alignment vertical="center" wrapText="1"/>
    </xf>
    <xf numFmtId="0" fontId="3" fillId="0" borderId="0" xfId="0" applyFont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7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4" borderId="10" xfId="0" applyFont="1" applyFill="1" applyBorder="1" applyAlignment="1">
      <alignment vertical="center"/>
    </xf>
    <xf numFmtId="0" fontId="2" fillId="2" borderId="15" xfId="0" applyFont="1" applyFill="1" applyBorder="1" applyAlignment="1">
      <alignment vertical="center"/>
    </xf>
    <xf numFmtId="1" fontId="3" fillId="0" borderId="0" xfId="0" applyNumberFormat="1" applyFont="1" applyAlignment="1">
      <alignment vertical="center"/>
    </xf>
    <xf numFmtId="0" fontId="3" fillId="0" borderId="4" xfId="0" applyFont="1" applyBorder="1" applyAlignment="1">
      <alignment vertical="center"/>
    </xf>
    <xf numFmtId="0" fontId="0" fillId="3" borderId="0" xfId="0" applyFill="1" applyAlignment="1">
      <alignment vertical="center" wrapText="1"/>
    </xf>
    <xf numFmtId="49" fontId="1" fillId="0" borderId="18" xfId="0" applyNumberFormat="1" applyFont="1" applyBorder="1"/>
    <xf numFmtId="49" fontId="1" fillId="0" borderId="19" xfId="0" applyNumberFormat="1" applyFont="1" applyBorder="1"/>
    <xf numFmtId="0" fontId="0" fillId="0" borderId="5" xfId="0" applyBorder="1" applyAlignment="1">
      <alignment horizontal="left" vertical="center" wrapText="1"/>
    </xf>
    <xf numFmtId="49" fontId="2" fillId="4" borderId="1" xfId="0" applyNumberFormat="1" applyFont="1" applyFill="1" applyBorder="1" applyAlignment="1">
      <alignment horizontal="center" wrapText="1"/>
    </xf>
    <xf numFmtId="0" fontId="0" fillId="4" borderId="1" xfId="0" applyFill="1" applyBorder="1" applyAlignment="1">
      <alignment vertical="center" wrapText="1"/>
    </xf>
    <xf numFmtId="1" fontId="0" fillId="4" borderId="15" xfId="0" applyNumberFormat="1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 wrapText="1"/>
    </xf>
    <xf numFmtId="0" fontId="0" fillId="4" borderId="15" xfId="0" applyFill="1" applyBorder="1" applyAlignment="1">
      <alignment horizontal="center" vertical="center"/>
    </xf>
    <xf numFmtId="0" fontId="0" fillId="4" borderId="15" xfId="0" applyFill="1" applyBorder="1" applyAlignment="1">
      <alignment vertical="center"/>
    </xf>
    <xf numFmtId="3" fontId="2" fillId="4" borderId="15" xfId="0" applyNumberFormat="1" applyFont="1" applyFill="1" applyBorder="1" applyAlignment="1">
      <alignment horizontal="center" vertical="center"/>
    </xf>
    <xf numFmtId="44" fontId="0" fillId="4" borderId="16" xfId="1" applyFont="1" applyFill="1" applyBorder="1" applyAlignment="1">
      <alignment vertical="center"/>
    </xf>
    <xf numFmtId="1" fontId="0" fillId="5" borderId="0" xfId="0" applyNumberFormat="1" applyFill="1"/>
    <xf numFmtId="0" fontId="0" fillId="5" borderId="0" xfId="0" applyFill="1" applyAlignment="1">
      <alignment vertical="center"/>
    </xf>
    <xf numFmtId="44" fontId="0" fillId="5" borderId="0" xfId="0" applyNumberForma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0" fontId="2" fillId="5" borderId="0" xfId="0" applyFont="1" applyFill="1" applyAlignment="1">
      <alignment vertical="center"/>
    </xf>
    <xf numFmtId="1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" wrapText="1"/>
    </xf>
    <xf numFmtId="44" fontId="2" fillId="5" borderId="0" xfId="0" applyNumberFormat="1" applyFont="1" applyFill="1" applyAlignment="1">
      <alignment horizontal="center" vertical="center"/>
    </xf>
    <xf numFmtId="3" fontId="2" fillId="5" borderId="0" xfId="0" applyNumberFormat="1" applyFont="1" applyFill="1" applyAlignment="1">
      <alignment horizontal="center" vertical="center"/>
    </xf>
    <xf numFmtId="44" fontId="7" fillId="5" borderId="0" xfId="1" applyFont="1" applyFill="1" applyAlignment="1">
      <alignment vertical="center"/>
    </xf>
    <xf numFmtId="165" fontId="2" fillId="5" borderId="0" xfId="2" applyNumberFormat="1" applyFont="1" applyFill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5" fillId="3" borderId="5" xfId="0" applyFont="1" applyFill="1" applyBorder="1" applyAlignment="1">
      <alignment horizontal="center" vertical="center" wrapText="1"/>
    </xf>
    <xf numFmtId="0" fontId="3" fillId="0" borderId="20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49" fontId="1" fillId="0" borderId="20" xfId="0" applyNumberFormat="1" applyFont="1" applyBorder="1" applyAlignment="1">
      <alignment horizontal="center"/>
    </xf>
    <xf numFmtId="49" fontId="1" fillId="0" borderId="18" xfId="0" applyNumberFormat="1" applyFont="1" applyBorder="1" applyAlignment="1">
      <alignment horizontal="center"/>
    </xf>
    <xf numFmtId="49" fontId="1" fillId="0" borderId="19" xfId="0" applyNumberFormat="1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0" fillId="5" borderId="0" xfId="0" applyFont="1" applyFill="1" applyAlignment="1">
      <alignment horizontal="center" vertical="center"/>
    </xf>
    <xf numFmtId="0" fontId="6" fillId="0" borderId="0" xfId="0" applyFont="1" applyAlignment="1">
      <alignment horizontal="center" vertical="center"/>
    </xf>
    <xf numFmtId="49" fontId="1" fillId="0" borderId="7" xfId="0" applyNumberFormat="1" applyFont="1" applyBorder="1" applyAlignment="1">
      <alignment horizontal="center"/>
    </xf>
    <xf numFmtId="49" fontId="1" fillId="0" borderId="2" xfId="0" applyNumberFormat="1" applyFont="1" applyBorder="1" applyAlignment="1">
      <alignment horizontal="center"/>
    </xf>
    <xf numFmtId="0" fontId="2" fillId="0" borderId="13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0" borderId="4" xfId="0" applyFont="1" applyBorder="1" applyAlignment="1">
      <alignment horizontal="center"/>
    </xf>
  </cellXfs>
  <cellStyles count="3">
    <cellStyle name="Comma" xfId="2" builtinId="3"/>
    <cellStyle name="Currency" xfId="1" builtinId="4"/>
    <cellStyle name="Normal" xfId="0" builtinId="0"/>
  </cellStyles>
  <dxfs count="4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145</xdr:row>
      <xdr:rowOff>161925</xdr:rowOff>
    </xdr:from>
    <xdr:to>
      <xdr:col>0</xdr:col>
      <xdr:colOff>1373324</xdr:colOff>
      <xdr:row>149</xdr:row>
      <xdr:rowOff>142875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xmlns="" id="{F07CACBB-90D8-4F82-9AB2-182992AC5A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474" b="23932"/>
        <a:stretch/>
      </xdr:blipFill>
      <xdr:spPr>
        <a:xfrm>
          <a:off x="0" y="1419225"/>
          <a:ext cx="137332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85725</xdr:rowOff>
    </xdr:from>
    <xdr:to>
      <xdr:col>0</xdr:col>
      <xdr:colOff>1373324</xdr:colOff>
      <xdr:row>109</xdr:row>
      <xdr:rowOff>142875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xmlns="" id="{ACD6685F-B538-4F9A-AEE8-F680238EA8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233" b="20693"/>
        <a:stretch/>
      </xdr:blipFill>
      <xdr:spPr>
        <a:xfrm>
          <a:off x="0" y="4562475"/>
          <a:ext cx="1373324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</xdr:colOff>
      <xdr:row>160</xdr:row>
      <xdr:rowOff>76200</xdr:rowOff>
    </xdr:from>
    <xdr:to>
      <xdr:col>0</xdr:col>
      <xdr:colOff>1374912</xdr:colOff>
      <xdr:row>164</xdr:row>
      <xdr:rowOff>104775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xmlns="" id="{B7CE9B9D-3242-472E-A007-68540FEA51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564" b="22353"/>
        <a:stretch/>
      </xdr:blipFill>
      <xdr:spPr>
        <a:xfrm>
          <a:off x="14287" y="8582025"/>
          <a:ext cx="1360625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123824</xdr:rowOff>
    </xdr:from>
    <xdr:to>
      <xdr:col>0</xdr:col>
      <xdr:colOff>1376362</xdr:colOff>
      <xdr:row>71</xdr:row>
      <xdr:rowOff>171449</xdr:rowOff>
    </xdr:to>
    <xdr:pic>
      <xdr:nvPicPr>
        <xdr:cNvPr id="13" name="Grafik 12">
          <a:extLst>
            <a:ext uri="{FF2B5EF4-FFF2-40B4-BE49-F238E27FC236}">
              <a16:creationId xmlns:a16="http://schemas.microsoft.com/office/drawing/2014/main" xmlns="" id="{D1CC46FA-E44F-4295-9956-F2A960CF2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28" b="21948"/>
        <a:stretch/>
      </xdr:blipFill>
      <xdr:spPr>
        <a:xfrm>
          <a:off x="0" y="12630149"/>
          <a:ext cx="1376362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1384935</xdr:colOff>
      <xdr:row>141</xdr:row>
      <xdr:rowOff>152400</xdr:rowOff>
    </xdr:to>
    <xdr:pic>
      <xdr:nvPicPr>
        <xdr:cNvPr id="14" name="Grafik 13">
          <a:extLst>
            <a:ext uri="{FF2B5EF4-FFF2-40B4-BE49-F238E27FC236}">
              <a16:creationId xmlns:a16="http://schemas.microsoft.com/office/drawing/2014/main" xmlns="" id="{2260EDD8-087E-4A2D-872B-5EDB68D2FE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590" b="20936"/>
        <a:stretch/>
      </xdr:blipFill>
      <xdr:spPr>
        <a:xfrm>
          <a:off x="0" y="16468725"/>
          <a:ext cx="1384935" cy="914400"/>
        </a:xfrm>
        <a:prstGeom prst="rect">
          <a:avLst/>
        </a:prstGeom>
      </xdr:spPr>
    </xdr:pic>
    <xdr:clientData/>
  </xdr:twoCellAnchor>
  <xdr:twoCellAnchor>
    <xdr:from>
      <xdr:col>0</xdr:col>
      <xdr:colOff>28380</xdr:colOff>
      <xdr:row>83</xdr:row>
      <xdr:rowOff>19050</xdr:rowOff>
    </xdr:from>
    <xdr:to>
      <xdr:col>0</xdr:col>
      <xdr:colOff>1333270</xdr:colOff>
      <xdr:row>85</xdr:row>
      <xdr:rowOff>142875</xdr:rowOff>
    </xdr:to>
    <xdr:pic>
      <xdr:nvPicPr>
        <xdr:cNvPr id="15" name="Grafik 14">
          <a:extLst>
            <a:ext uri="{FF2B5EF4-FFF2-40B4-BE49-F238E27FC236}">
              <a16:creationId xmlns:a16="http://schemas.microsoft.com/office/drawing/2014/main" xmlns="" id="{0720AA67-9A58-41AE-A958-9E2FE69318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380" y="16706850"/>
          <a:ext cx="1304890" cy="504825"/>
        </a:xfrm>
        <a:prstGeom prst="rect">
          <a:avLst/>
        </a:prstGeom>
      </xdr:spPr>
    </xdr:pic>
    <xdr:clientData/>
  </xdr:twoCellAnchor>
  <xdr:twoCellAnchor>
    <xdr:from>
      <xdr:col>0</xdr:col>
      <xdr:colOff>60962</xdr:colOff>
      <xdr:row>207</xdr:row>
      <xdr:rowOff>152874</xdr:rowOff>
    </xdr:from>
    <xdr:to>
      <xdr:col>0</xdr:col>
      <xdr:colOff>1336636</xdr:colOff>
      <xdr:row>211</xdr:row>
      <xdr:rowOff>30682</xdr:rowOff>
    </xdr:to>
    <xdr:pic>
      <xdr:nvPicPr>
        <xdr:cNvPr id="17" name="Grafik 16">
          <a:extLst>
            <a:ext uri="{FF2B5EF4-FFF2-40B4-BE49-F238E27FC236}">
              <a16:creationId xmlns:a16="http://schemas.microsoft.com/office/drawing/2014/main" xmlns="" id="{E43FDF87-071D-45BF-ADD9-9074A273EC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2" y="47044449"/>
          <a:ext cx="1275674" cy="639808"/>
        </a:xfrm>
        <a:prstGeom prst="rect">
          <a:avLst/>
        </a:prstGeom>
      </xdr:spPr>
    </xdr:pic>
    <xdr:clientData/>
  </xdr:twoCellAnchor>
  <xdr:twoCellAnchor>
    <xdr:from>
      <xdr:col>0</xdr:col>
      <xdr:colOff>17214</xdr:colOff>
      <xdr:row>19</xdr:row>
      <xdr:rowOff>171450</xdr:rowOff>
    </xdr:from>
    <xdr:to>
      <xdr:col>0</xdr:col>
      <xdr:colOff>1371472</xdr:colOff>
      <xdr:row>22</xdr:row>
      <xdr:rowOff>180975</xdr:rowOff>
    </xdr:to>
    <xdr:pic>
      <xdr:nvPicPr>
        <xdr:cNvPr id="18" name="Grafik 17">
          <a:extLst>
            <a:ext uri="{FF2B5EF4-FFF2-40B4-BE49-F238E27FC236}">
              <a16:creationId xmlns:a16="http://schemas.microsoft.com/office/drawing/2014/main" xmlns="" id="{6671DFC3-8994-462A-8ABE-D44A2564F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14" y="4610100"/>
          <a:ext cx="1354258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121</xdr:row>
      <xdr:rowOff>76199</xdr:rowOff>
    </xdr:from>
    <xdr:to>
      <xdr:col>0</xdr:col>
      <xdr:colOff>1373324</xdr:colOff>
      <xdr:row>125</xdr:row>
      <xdr:rowOff>95249</xdr:rowOff>
    </xdr:to>
    <xdr:pic>
      <xdr:nvPicPr>
        <xdr:cNvPr id="20" name="Grafik 19">
          <a:extLst>
            <a:ext uri="{FF2B5EF4-FFF2-40B4-BE49-F238E27FC236}">
              <a16:creationId xmlns:a16="http://schemas.microsoft.com/office/drawing/2014/main" xmlns="" id="{9F75734F-0B97-499E-BEA9-F70426BF6C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59" b="23601"/>
        <a:stretch/>
      </xdr:blipFill>
      <xdr:spPr>
        <a:xfrm>
          <a:off x="9525" y="25803224"/>
          <a:ext cx="1363799" cy="781051"/>
        </a:xfrm>
        <a:prstGeom prst="rect">
          <a:avLst/>
        </a:prstGeom>
      </xdr:spPr>
    </xdr:pic>
    <xdr:clientData/>
  </xdr:twoCellAnchor>
  <xdr:twoCellAnchor editAs="oneCell">
    <xdr:from>
      <xdr:col>0</xdr:col>
      <xdr:colOff>38099</xdr:colOff>
      <xdr:row>190</xdr:row>
      <xdr:rowOff>223837</xdr:rowOff>
    </xdr:from>
    <xdr:to>
      <xdr:col>0</xdr:col>
      <xdr:colOff>1333501</xdr:colOff>
      <xdr:row>192</xdr:row>
      <xdr:rowOff>135142</xdr:rowOff>
    </xdr:to>
    <xdr:pic>
      <xdr:nvPicPr>
        <xdr:cNvPr id="21" name="Grafik 20">
          <a:extLst>
            <a:ext uri="{FF2B5EF4-FFF2-40B4-BE49-F238E27FC236}">
              <a16:creationId xmlns:a16="http://schemas.microsoft.com/office/drawing/2014/main" xmlns="" id="{6CAE394E-915E-41A1-8CDC-50331BB5AF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411" b="25917"/>
        <a:stretch/>
      </xdr:blipFill>
      <xdr:spPr>
        <a:xfrm>
          <a:off x="38099" y="38180962"/>
          <a:ext cx="1295402" cy="57805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173</xdr:row>
      <xdr:rowOff>66674</xdr:rowOff>
    </xdr:from>
    <xdr:to>
      <xdr:col>0</xdr:col>
      <xdr:colOff>1374912</xdr:colOff>
      <xdr:row>175</xdr:row>
      <xdr:rowOff>219075</xdr:rowOff>
    </xdr:to>
    <xdr:pic>
      <xdr:nvPicPr>
        <xdr:cNvPr id="22" name="Grafik 21">
          <a:extLst>
            <a:ext uri="{FF2B5EF4-FFF2-40B4-BE49-F238E27FC236}">
              <a16:creationId xmlns:a16="http://schemas.microsoft.com/office/drawing/2014/main" xmlns="" id="{60149C98-F433-4888-8878-9B4FFD8D06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379" b="21165"/>
        <a:stretch/>
      </xdr:blipFill>
      <xdr:spPr>
        <a:xfrm>
          <a:off x="4762" y="33337499"/>
          <a:ext cx="1370150" cy="81915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43</xdr:row>
      <xdr:rowOff>152400</xdr:rowOff>
    </xdr:from>
    <xdr:to>
      <xdr:col>0</xdr:col>
      <xdr:colOff>1373324</xdr:colOff>
      <xdr:row>48</xdr:row>
      <xdr:rowOff>0</xdr:rowOff>
    </xdr:to>
    <xdr:pic>
      <xdr:nvPicPr>
        <xdr:cNvPr id="23" name="Grafik 22">
          <a:extLst>
            <a:ext uri="{FF2B5EF4-FFF2-40B4-BE49-F238E27FC236}">
              <a16:creationId xmlns:a16="http://schemas.microsoft.com/office/drawing/2014/main" xmlns="" id="{F8079056-E7CA-4DC3-9E4A-CD356CD042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13" b="20625"/>
        <a:stretch/>
      </xdr:blipFill>
      <xdr:spPr>
        <a:xfrm>
          <a:off x="28575" y="24812625"/>
          <a:ext cx="1344749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89</xdr:row>
      <xdr:rowOff>66674</xdr:rowOff>
    </xdr:from>
    <xdr:to>
      <xdr:col>0</xdr:col>
      <xdr:colOff>1373324</xdr:colOff>
      <xdr:row>93</xdr:row>
      <xdr:rowOff>152399</xdr:rowOff>
    </xdr:to>
    <xdr:pic>
      <xdr:nvPicPr>
        <xdr:cNvPr id="25" name="Grafik 24">
          <a:extLst>
            <a:ext uri="{FF2B5EF4-FFF2-40B4-BE49-F238E27FC236}">
              <a16:creationId xmlns:a16="http://schemas.microsoft.com/office/drawing/2014/main" xmlns="" id="{989D22F1-94BF-4CE0-A235-F374DCD15F7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829" b="19302"/>
        <a:stretch/>
      </xdr:blipFill>
      <xdr:spPr>
        <a:xfrm>
          <a:off x="0" y="31051499"/>
          <a:ext cx="1373324" cy="84772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28576</xdr:colOff>
      <xdr:row>184</xdr:row>
      <xdr:rowOff>180975</xdr:rowOff>
    </xdr:from>
    <xdr:to>
      <xdr:col>0</xdr:col>
      <xdr:colOff>1343026</xdr:colOff>
      <xdr:row>188</xdr:row>
      <xdr:rowOff>5530</xdr:rowOff>
    </xdr:to>
    <xdr:pic>
      <xdr:nvPicPr>
        <xdr:cNvPr id="28" name="Grafik 27">
          <a:extLst>
            <a:ext uri="{FF2B5EF4-FFF2-40B4-BE49-F238E27FC236}">
              <a16:creationId xmlns:a16="http://schemas.microsoft.com/office/drawing/2014/main" xmlns="" id="{0AECA708-5514-4352-83CA-F625F6407F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750" b="26578"/>
        <a:stretch/>
      </xdr:blipFill>
      <xdr:spPr>
        <a:xfrm>
          <a:off x="28576" y="36842700"/>
          <a:ext cx="1314450" cy="58655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168</xdr:row>
      <xdr:rowOff>95249</xdr:rowOff>
    </xdr:from>
    <xdr:to>
      <xdr:col>0</xdr:col>
      <xdr:colOff>1373324</xdr:colOff>
      <xdr:row>171</xdr:row>
      <xdr:rowOff>104774</xdr:rowOff>
    </xdr:to>
    <xdr:pic>
      <xdr:nvPicPr>
        <xdr:cNvPr id="29" name="Grafik 28">
          <a:extLst>
            <a:ext uri="{FF2B5EF4-FFF2-40B4-BE49-F238E27FC236}">
              <a16:creationId xmlns:a16="http://schemas.microsoft.com/office/drawing/2014/main" xmlns="" id="{709849CB-5861-4F9E-9C3F-A9C16E4E82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1" b="29885"/>
        <a:stretch/>
      </xdr:blipFill>
      <xdr:spPr>
        <a:xfrm>
          <a:off x="28575" y="33185099"/>
          <a:ext cx="1344749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</xdr:colOff>
      <xdr:row>75</xdr:row>
      <xdr:rowOff>47625</xdr:rowOff>
    </xdr:from>
    <xdr:to>
      <xdr:col>0</xdr:col>
      <xdr:colOff>1374912</xdr:colOff>
      <xdr:row>79</xdr:row>
      <xdr:rowOff>95250</xdr:rowOff>
    </xdr:to>
    <xdr:pic>
      <xdr:nvPicPr>
        <xdr:cNvPr id="30" name="Grafik 29">
          <a:extLst>
            <a:ext uri="{FF2B5EF4-FFF2-40B4-BE49-F238E27FC236}">
              <a16:creationId xmlns:a16="http://schemas.microsoft.com/office/drawing/2014/main" xmlns="" id="{EAB264CD-3082-4066-9A96-584CC70BC3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658" b="23767"/>
        <a:stretch/>
      </xdr:blipFill>
      <xdr:spPr>
        <a:xfrm>
          <a:off x="14287" y="15211425"/>
          <a:ext cx="1360625" cy="8096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</xdr:colOff>
      <xdr:row>27</xdr:row>
      <xdr:rowOff>85725</xdr:rowOff>
    </xdr:from>
    <xdr:to>
      <xdr:col>0</xdr:col>
      <xdr:colOff>1374912</xdr:colOff>
      <xdr:row>31</xdr:row>
      <xdr:rowOff>123825</xdr:rowOff>
    </xdr:to>
    <xdr:pic>
      <xdr:nvPicPr>
        <xdr:cNvPr id="31" name="Grafik 30">
          <a:extLst>
            <a:ext uri="{FF2B5EF4-FFF2-40B4-BE49-F238E27FC236}">
              <a16:creationId xmlns:a16="http://schemas.microsoft.com/office/drawing/2014/main" xmlns="" id="{EC5F20B0-17C4-4F71-B912-BB59A1A8C3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820" b="21618"/>
        <a:stretch/>
      </xdr:blipFill>
      <xdr:spPr>
        <a:xfrm>
          <a:off x="4762" y="39033450"/>
          <a:ext cx="1370150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38098</xdr:colOff>
      <xdr:row>203</xdr:row>
      <xdr:rowOff>42862</xdr:rowOff>
    </xdr:from>
    <xdr:to>
      <xdr:col>0</xdr:col>
      <xdr:colOff>1401897</xdr:colOff>
      <xdr:row>204</xdr:row>
      <xdr:rowOff>261937</xdr:rowOff>
    </xdr:to>
    <xdr:pic>
      <xdr:nvPicPr>
        <xdr:cNvPr id="33" name="Grafik 32">
          <a:extLst>
            <a:ext uri="{FF2B5EF4-FFF2-40B4-BE49-F238E27FC236}">
              <a16:creationId xmlns:a16="http://schemas.microsoft.com/office/drawing/2014/main" xmlns="" id="{D8087C3E-5E0E-4CDE-9063-6428BB1F22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43" b="27570"/>
        <a:stretch/>
      </xdr:blipFill>
      <xdr:spPr>
        <a:xfrm>
          <a:off x="38098" y="45029437"/>
          <a:ext cx="1363799" cy="695325"/>
        </a:xfrm>
        <a:prstGeom prst="rect">
          <a:avLst/>
        </a:prstGeom>
      </xdr:spPr>
    </xdr:pic>
    <xdr:clientData/>
  </xdr:twoCellAnchor>
  <xdr:twoCellAnchor editAs="oneCell">
    <xdr:from>
      <xdr:col>0</xdr:col>
      <xdr:colOff>55720</xdr:colOff>
      <xdr:row>11</xdr:row>
      <xdr:rowOff>57150</xdr:rowOff>
    </xdr:from>
    <xdr:to>
      <xdr:col>0</xdr:col>
      <xdr:colOff>1310798</xdr:colOff>
      <xdr:row>15</xdr:row>
      <xdr:rowOff>114300</xdr:rowOff>
    </xdr:to>
    <xdr:pic>
      <xdr:nvPicPr>
        <xdr:cNvPr id="34" name="Grafik 33">
          <a:extLst>
            <a:ext uri="{FF2B5EF4-FFF2-40B4-BE49-F238E27FC236}">
              <a16:creationId xmlns:a16="http://schemas.microsoft.com/office/drawing/2014/main" xmlns="" id="{5462EBBD-BDC2-4D25-ACB9-50C70A8D26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1188" b="19746"/>
        <a:stretch/>
      </xdr:blipFill>
      <xdr:spPr>
        <a:xfrm>
          <a:off x="55720" y="41567100"/>
          <a:ext cx="1255078" cy="819150"/>
        </a:xfrm>
        <a:prstGeom prst="rect">
          <a:avLst/>
        </a:prstGeom>
      </xdr:spPr>
    </xdr:pic>
    <xdr:clientData/>
  </xdr:twoCellAnchor>
  <xdr:twoCellAnchor>
    <xdr:from>
      <xdr:col>0</xdr:col>
      <xdr:colOff>57964</xdr:colOff>
      <xdr:row>3</xdr:row>
      <xdr:rowOff>99238</xdr:rowOff>
    </xdr:from>
    <xdr:to>
      <xdr:col>0</xdr:col>
      <xdr:colOff>1316695</xdr:colOff>
      <xdr:row>7</xdr:row>
      <xdr:rowOff>61256</xdr:rowOff>
    </xdr:to>
    <xdr:pic>
      <xdr:nvPicPr>
        <xdr:cNvPr id="36" name="Grafik 35">
          <a:extLst>
            <a:ext uri="{FF2B5EF4-FFF2-40B4-BE49-F238E27FC236}">
              <a16:creationId xmlns:a16="http://schemas.microsoft.com/office/drawing/2014/main" xmlns="" id="{067B4A34-7070-4E0F-9324-5DB4193891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964" y="43152238"/>
          <a:ext cx="1258731" cy="724018"/>
        </a:xfrm>
        <a:prstGeom prst="rect">
          <a:avLst/>
        </a:prstGeom>
      </xdr:spPr>
    </xdr:pic>
    <xdr:clientData/>
  </xdr:twoCellAnchor>
  <xdr:twoCellAnchor>
    <xdr:from>
      <xdr:col>0</xdr:col>
      <xdr:colOff>48986</xdr:colOff>
      <xdr:row>51</xdr:row>
      <xdr:rowOff>179473</xdr:rowOff>
    </xdr:from>
    <xdr:to>
      <xdr:col>0</xdr:col>
      <xdr:colOff>1329146</xdr:colOff>
      <xdr:row>54</xdr:row>
      <xdr:rowOff>180975</xdr:rowOff>
    </xdr:to>
    <xdr:pic>
      <xdr:nvPicPr>
        <xdr:cNvPr id="38" name="Grafik 37">
          <a:extLst>
            <a:ext uri="{FF2B5EF4-FFF2-40B4-BE49-F238E27FC236}">
              <a16:creationId xmlns:a16="http://schemas.microsoft.com/office/drawing/2014/main" xmlns="" id="{119E82E4-F0CA-4A8B-BCF2-2719D9C6D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986" y="10695073"/>
          <a:ext cx="1280160" cy="57300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</xdr:colOff>
      <xdr:row>153</xdr:row>
      <xdr:rowOff>42861</xdr:rowOff>
    </xdr:from>
    <xdr:to>
      <xdr:col>0</xdr:col>
      <xdr:colOff>1376362</xdr:colOff>
      <xdr:row>156</xdr:row>
      <xdr:rowOff>123824</xdr:rowOff>
    </xdr:to>
    <xdr:pic>
      <xdr:nvPicPr>
        <xdr:cNvPr id="40" name="Grafik 39">
          <a:extLst>
            <a:ext uri="{FF2B5EF4-FFF2-40B4-BE49-F238E27FC236}">
              <a16:creationId xmlns:a16="http://schemas.microsoft.com/office/drawing/2014/main" xmlns="" id="{345A6970-0429-4A85-BF9D-43A1882BD4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765" b="24924"/>
        <a:stretch/>
      </xdr:blipFill>
      <xdr:spPr>
        <a:xfrm>
          <a:off x="847725" y="158076899"/>
          <a:ext cx="1440000" cy="6524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95250</xdr:rowOff>
    </xdr:from>
    <xdr:to>
      <xdr:col>0</xdr:col>
      <xdr:colOff>1373324</xdr:colOff>
      <xdr:row>63</xdr:row>
      <xdr:rowOff>171450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xmlns="" id="{ADC3EE55-70BE-445A-A8A3-2D70B0A71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11" b="20615"/>
        <a:stretch/>
      </xdr:blipFill>
      <xdr:spPr>
        <a:xfrm>
          <a:off x="0" y="51730275"/>
          <a:ext cx="1373324" cy="838200"/>
        </a:xfrm>
        <a:prstGeom prst="rect">
          <a:avLst/>
        </a:prstGeom>
      </xdr:spPr>
    </xdr:pic>
    <xdr:clientData/>
  </xdr:twoCellAnchor>
  <xdr:twoCellAnchor editAs="oneCell">
    <xdr:from>
      <xdr:col>0</xdr:col>
      <xdr:colOff>42860</xdr:colOff>
      <xdr:row>214</xdr:row>
      <xdr:rowOff>200024</xdr:rowOff>
    </xdr:from>
    <xdr:to>
      <xdr:col>0</xdr:col>
      <xdr:colOff>1343025</xdr:colOff>
      <xdr:row>217</xdr:row>
      <xdr:rowOff>66674</xdr:rowOff>
    </xdr:to>
    <xdr:pic>
      <xdr:nvPicPr>
        <xdr:cNvPr id="42" name="Grafik 41">
          <a:extLst>
            <a:ext uri="{FF2B5EF4-FFF2-40B4-BE49-F238E27FC236}">
              <a16:creationId xmlns:a16="http://schemas.microsoft.com/office/drawing/2014/main" xmlns="" id="{97FEF286-2EBF-41AC-809E-DCEE00DED4D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089" b="29224"/>
        <a:stretch/>
      </xdr:blipFill>
      <xdr:spPr>
        <a:xfrm>
          <a:off x="42860" y="49634774"/>
          <a:ext cx="1300165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2</xdr:colOff>
      <xdr:row>35</xdr:row>
      <xdr:rowOff>95250</xdr:rowOff>
    </xdr:from>
    <xdr:to>
      <xdr:col>0</xdr:col>
      <xdr:colOff>1356159</xdr:colOff>
      <xdr:row>39</xdr:row>
      <xdr:rowOff>85725</xdr:rowOff>
    </xdr:to>
    <xdr:pic>
      <xdr:nvPicPr>
        <xdr:cNvPr id="44" name="Grafik 43">
          <a:extLst>
            <a:ext uri="{FF2B5EF4-FFF2-40B4-BE49-F238E27FC236}">
              <a16:creationId xmlns:a16="http://schemas.microsoft.com/office/drawing/2014/main" xmlns="" id="{1B63B737-82EF-4B53-80E0-8E94D1268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13" b="23271"/>
        <a:stretch/>
      </xdr:blipFill>
      <xdr:spPr>
        <a:xfrm>
          <a:off x="2" y="54892575"/>
          <a:ext cx="1356157" cy="752475"/>
        </a:xfrm>
        <a:prstGeom prst="rect">
          <a:avLst/>
        </a:prstGeom>
      </xdr:spPr>
    </xdr:pic>
    <xdr:clientData/>
  </xdr:twoCellAnchor>
  <xdr:twoCellAnchor>
    <xdr:from>
      <xdr:col>0</xdr:col>
      <xdr:colOff>76968</xdr:colOff>
      <xdr:row>195</xdr:row>
      <xdr:rowOff>180061</xdr:rowOff>
    </xdr:from>
    <xdr:to>
      <xdr:col>0</xdr:col>
      <xdr:colOff>1351164</xdr:colOff>
      <xdr:row>199</xdr:row>
      <xdr:rowOff>57815</xdr:rowOff>
    </xdr:to>
    <xdr:pic>
      <xdr:nvPicPr>
        <xdr:cNvPr id="46" name="Grafik 45">
          <a:extLst>
            <a:ext uri="{FF2B5EF4-FFF2-40B4-BE49-F238E27FC236}">
              <a16:creationId xmlns:a16="http://schemas.microsoft.com/office/drawing/2014/main" xmlns="" id="{BA506DC4-2B27-4E3F-86D2-D4B669DA05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1356" y="30402886"/>
          <a:ext cx="1274196" cy="601654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0</xdr:row>
      <xdr:rowOff>41018</xdr:rowOff>
    </xdr:from>
    <xdr:to>
      <xdr:col>1</xdr:col>
      <xdr:colOff>552450</xdr:colOff>
      <xdr:row>0</xdr:row>
      <xdr:rowOff>818911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xmlns="" id="{C2F49477-CBB6-05EA-9AB8-018635E92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6675" y="41018"/>
          <a:ext cx="1962150" cy="777893"/>
        </a:xfrm>
        <a:prstGeom prst="rect">
          <a:avLst/>
        </a:prstGeom>
      </xdr:spPr>
    </xdr:pic>
    <xdr:clientData/>
  </xdr:twoCellAnchor>
  <xdr:twoCellAnchor>
    <xdr:from>
      <xdr:col>0</xdr:col>
      <xdr:colOff>62329</xdr:colOff>
      <xdr:row>97</xdr:row>
      <xdr:rowOff>149124</xdr:rowOff>
    </xdr:from>
    <xdr:to>
      <xdr:col>0</xdr:col>
      <xdr:colOff>1325277</xdr:colOff>
      <xdr:row>101</xdr:row>
      <xdr:rowOff>38582</xdr:rowOff>
    </xdr:to>
    <xdr:pic>
      <xdr:nvPicPr>
        <xdr:cNvPr id="53" name="Grafik 52">
          <a:extLst>
            <a:ext uri="{FF2B5EF4-FFF2-40B4-BE49-F238E27FC236}">
              <a16:creationId xmlns:a16="http://schemas.microsoft.com/office/drawing/2014/main" xmlns="" id="{1D2CE0B3-9965-4A5C-B0D3-F4385C5A7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329" y="45269049"/>
          <a:ext cx="1262948" cy="65145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113</xdr:row>
      <xdr:rowOff>76200</xdr:rowOff>
    </xdr:from>
    <xdr:ext cx="1373324" cy="819150"/>
    <xdr:pic>
      <xdr:nvPicPr>
        <xdr:cNvPr id="55" name="Grafik 54">
          <a:extLst>
            <a:ext uri="{FF2B5EF4-FFF2-40B4-BE49-F238E27FC236}">
              <a16:creationId xmlns:a16="http://schemas.microsoft.com/office/drawing/2014/main" xmlns="" id="{27E1D4B0-CC67-4B65-BDB5-07AAA577298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160" b="20954"/>
        <a:stretch/>
      </xdr:blipFill>
      <xdr:spPr>
        <a:xfrm>
          <a:off x="0" y="30775275"/>
          <a:ext cx="1373324" cy="819150"/>
        </a:xfrm>
        <a:prstGeom prst="rect">
          <a:avLst/>
        </a:prstGeom>
      </xdr:spPr>
    </xdr:pic>
    <xdr:clientData/>
  </xdr:oneCellAnchor>
  <xdr:oneCellAnchor>
    <xdr:from>
      <xdr:col>0</xdr:col>
      <xdr:colOff>50254</xdr:colOff>
      <xdr:row>129</xdr:row>
      <xdr:rowOff>57149</xdr:rowOff>
    </xdr:from>
    <xdr:ext cx="1285385" cy="742951"/>
    <xdr:pic>
      <xdr:nvPicPr>
        <xdr:cNvPr id="57" name="Grafik 56">
          <a:extLst>
            <a:ext uri="{FF2B5EF4-FFF2-40B4-BE49-F238E27FC236}">
              <a16:creationId xmlns:a16="http://schemas.microsoft.com/office/drawing/2014/main" xmlns="" id="{26B2A3A5-0CBF-416B-AC10-E540413ACD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139" b="22101"/>
        <a:stretch/>
      </xdr:blipFill>
      <xdr:spPr>
        <a:xfrm>
          <a:off x="50254" y="75076049"/>
          <a:ext cx="1285385" cy="742951"/>
        </a:xfrm>
        <a:prstGeom prst="rect">
          <a:avLst/>
        </a:prstGeom>
      </xdr:spPr>
    </xdr:pic>
    <xdr:clientData/>
  </xdr:oneCellAnchor>
  <xdr:oneCellAnchor>
    <xdr:from>
      <xdr:col>0</xdr:col>
      <xdr:colOff>55721</xdr:colOff>
      <xdr:row>177</xdr:row>
      <xdr:rowOff>85725</xdr:rowOff>
    </xdr:from>
    <xdr:ext cx="1252536" cy="819150"/>
    <xdr:pic>
      <xdr:nvPicPr>
        <xdr:cNvPr id="58" name="Grafik 57">
          <a:extLst>
            <a:ext uri="{FF2B5EF4-FFF2-40B4-BE49-F238E27FC236}">
              <a16:creationId xmlns:a16="http://schemas.microsoft.com/office/drawing/2014/main" xmlns="" id="{B091648E-D53F-40B0-A45D-A239AD990B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22783" b="21554"/>
        <a:stretch/>
      </xdr:blipFill>
      <xdr:spPr>
        <a:xfrm>
          <a:off x="55721" y="35385375"/>
          <a:ext cx="1252536" cy="819150"/>
        </a:xfrm>
        <a:prstGeom prst="rect">
          <a:avLst/>
        </a:prstGeom>
      </xdr:spPr>
    </xdr:pic>
    <xdr:clientData/>
  </xdr:oneCellAnchor>
  <xdr:oneCellAnchor>
    <xdr:from>
      <xdr:col>0</xdr:col>
      <xdr:colOff>38100</xdr:colOff>
      <xdr:row>219</xdr:row>
      <xdr:rowOff>66674</xdr:rowOff>
    </xdr:from>
    <xdr:ext cx="1339987" cy="828675"/>
    <xdr:pic>
      <xdr:nvPicPr>
        <xdr:cNvPr id="60" name="Grafik 59">
          <a:extLst>
            <a:ext uri="{FF2B5EF4-FFF2-40B4-BE49-F238E27FC236}">
              <a16:creationId xmlns:a16="http://schemas.microsoft.com/office/drawing/2014/main" xmlns="" id="{35797103-4186-4E33-AE57-BAD3FF6F98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489" b="19963"/>
        <a:stretch/>
      </xdr:blipFill>
      <xdr:spPr>
        <a:xfrm>
          <a:off x="38100" y="41538524"/>
          <a:ext cx="1339987" cy="8286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paulhewitt.sharepoint.com/sites/B2BPerformance/Freigegebene%20Dokumente/General/Shopping%20Clubs%20&amp;%20Offprice/Organisatorisch/Angebote/Overstock%20Offer_NEU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tten Bestand"/>
      <sheetName val="Verpackungen"/>
      <sheetName val="Stücklisten"/>
      <sheetName val="Lagerbewertung"/>
      <sheetName val="Cases"/>
      <sheetName val="Uhrenarmband"/>
      <sheetName val="Miss Ocean Line"/>
      <sheetName val="Sailor Line"/>
      <sheetName val="FEHLENDE PRODUKTE"/>
      <sheetName val="Everpulse"/>
      <sheetName val="Chrono"/>
      <sheetName val="Limited Editions"/>
      <sheetName val="Div. Uhren"/>
      <sheetName val="Restposten Uhr"/>
      <sheetName val="Bracelet Phrep"/>
      <sheetName val="Bracelet Phrep Lite"/>
      <sheetName val="Bracelets Phinity"/>
      <sheetName val="Bracelet North Bound"/>
      <sheetName val="Bracelet Windrose"/>
      <sheetName val="Bracelet Conic"/>
      <sheetName val="Bracelet ReBrace"/>
      <sheetName val="Bracelet Signum"/>
      <sheetName val="Bracelet Vitamin Sea"/>
      <sheetName val="Schmuck Halsketten"/>
      <sheetName val="Schmuck Armketten"/>
      <sheetName val="Schmuck Ohrringe"/>
      <sheetName val="Schmuck Ringe"/>
      <sheetName val="Schmuck Amreif"/>
      <sheetName val="Bags, Sun &amp; Handy"/>
      <sheetName val="Signature Abverkauf"/>
      <sheetName val="Inflight Stock"/>
      <sheetName val="Morellato Return"/>
      <sheetName val="Marinium Produkte"/>
    </sheetNames>
    <sheetDataSet>
      <sheetData sheetId="0">
        <row r="1">
          <cell r="I1" t="str">
            <v>Nr.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>
        <row r="3">
          <cell r="D3">
            <v>1</v>
          </cell>
          <cell r="H3">
            <v>10.73</v>
          </cell>
        </row>
        <row r="4">
          <cell r="D4">
            <v>1</v>
          </cell>
          <cell r="H4">
            <v>10.73</v>
          </cell>
        </row>
        <row r="5">
          <cell r="D5">
            <v>1</v>
          </cell>
          <cell r="H5">
            <v>10.73</v>
          </cell>
        </row>
        <row r="6">
          <cell r="D6">
            <v>1</v>
          </cell>
          <cell r="H6">
            <v>10.73</v>
          </cell>
        </row>
        <row r="7">
          <cell r="D7">
            <v>1</v>
          </cell>
          <cell r="H7">
            <v>10.73</v>
          </cell>
        </row>
        <row r="8">
          <cell r="D8">
            <v>1</v>
          </cell>
          <cell r="H8">
            <v>10.73</v>
          </cell>
        </row>
        <row r="9">
          <cell r="D9">
            <v>1</v>
          </cell>
          <cell r="H9">
            <v>13.48</v>
          </cell>
        </row>
        <row r="10">
          <cell r="D10">
            <v>1</v>
          </cell>
          <cell r="H10">
            <v>13.48</v>
          </cell>
        </row>
        <row r="11">
          <cell r="D11">
            <v>1</v>
          </cell>
          <cell r="H11">
            <v>13.48</v>
          </cell>
        </row>
        <row r="12">
          <cell r="D12">
            <v>1</v>
          </cell>
          <cell r="H12">
            <v>13.48</v>
          </cell>
        </row>
        <row r="13">
          <cell r="D13">
            <v>1</v>
          </cell>
          <cell r="H13">
            <v>13.48</v>
          </cell>
        </row>
        <row r="14">
          <cell r="D14">
            <v>1</v>
          </cell>
          <cell r="H14">
            <v>13.48</v>
          </cell>
        </row>
        <row r="15">
          <cell r="D15">
            <v>2</v>
          </cell>
          <cell r="H15">
            <v>15.95</v>
          </cell>
        </row>
        <row r="16">
          <cell r="D16">
            <v>1</v>
          </cell>
          <cell r="H16">
            <v>16.23</v>
          </cell>
        </row>
        <row r="17">
          <cell r="D17">
            <v>1</v>
          </cell>
          <cell r="H17">
            <v>18.98</v>
          </cell>
        </row>
        <row r="18">
          <cell r="D18">
            <v>2</v>
          </cell>
          <cell r="H18">
            <v>21.45</v>
          </cell>
        </row>
        <row r="19">
          <cell r="D19">
            <v>2</v>
          </cell>
          <cell r="H19">
            <v>21.45</v>
          </cell>
        </row>
        <row r="20">
          <cell r="D20">
            <v>2</v>
          </cell>
          <cell r="H20">
            <v>21.45</v>
          </cell>
        </row>
        <row r="21">
          <cell r="D21">
            <v>2</v>
          </cell>
          <cell r="H21">
            <v>26.95</v>
          </cell>
        </row>
        <row r="22">
          <cell r="D22">
            <v>2</v>
          </cell>
          <cell r="H22">
            <v>27.45</v>
          </cell>
        </row>
        <row r="23">
          <cell r="D23">
            <v>3</v>
          </cell>
          <cell r="H23">
            <v>48.68</v>
          </cell>
        </row>
        <row r="24">
          <cell r="D24">
            <v>2</v>
          </cell>
          <cell r="H24">
            <v>32.450000000000003</v>
          </cell>
        </row>
        <row r="25">
          <cell r="D25">
            <v>2</v>
          </cell>
          <cell r="H25">
            <v>37.950000000000003</v>
          </cell>
        </row>
        <row r="26">
          <cell r="D26">
            <v>3</v>
          </cell>
          <cell r="H26">
            <v>40.43</v>
          </cell>
        </row>
        <row r="27">
          <cell r="D27">
            <v>2</v>
          </cell>
          <cell r="H27">
            <v>26.95</v>
          </cell>
        </row>
        <row r="28">
          <cell r="D28">
            <v>1</v>
          </cell>
          <cell r="H28">
            <v>40.98</v>
          </cell>
        </row>
        <row r="29">
          <cell r="D29">
            <v>4</v>
          </cell>
          <cell r="H29">
            <v>42.9</v>
          </cell>
        </row>
        <row r="30">
          <cell r="D30">
            <v>1</v>
          </cell>
          <cell r="H30">
            <v>43.73</v>
          </cell>
        </row>
        <row r="31">
          <cell r="D31">
            <v>3</v>
          </cell>
          <cell r="H31">
            <v>73.430000000000007</v>
          </cell>
        </row>
        <row r="32">
          <cell r="D32">
            <v>1</v>
          </cell>
          <cell r="H32">
            <v>49.23</v>
          </cell>
        </row>
        <row r="33">
          <cell r="D33">
            <v>1</v>
          </cell>
          <cell r="H33">
            <v>49.23</v>
          </cell>
        </row>
        <row r="34">
          <cell r="D34">
            <v>1</v>
          </cell>
          <cell r="H34">
            <v>49.23</v>
          </cell>
        </row>
        <row r="35">
          <cell r="D35">
            <v>4</v>
          </cell>
          <cell r="H35">
            <v>207.9</v>
          </cell>
        </row>
        <row r="36">
          <cell r="D36">
            <v>4</v>
          </cell>
          <cell r="H36">
            <v>53.9</v>
          </cell>
        </row>
        <row r="37">
          <cell r="D37">
            <v>2</v>
          </cell>
          <cell r="H37">
            <v>26.95</v>
          </cell>
        </row>
        <row r="38">
          <cell r="D38">
            <v>2</v>
          </cell>
          <cell r="H38">
            <v>26.95</v>
          </cell>
        </row>
        <row r="39">
          <cell r="D39">
            <v>3</v>
          </cell>
          <cell r="H39">
            <v>40.43</v>
          </cell>
        </row>
        <row r="40">
          <cell r="D40">
            <v>7</v>
          </cell>
          <cell r="H40">
            <v>75.08</v>
          </cell>
        </row>
        <row r="41">
          <cell r="D41">
            <v>1</v>
          </cell>
          <cell r="H41">
            <v>35.479999999999997</v>
          </cell>
        </row>
        <row r="42">
          <cell r="D42">
            <v>7</v>
          </cell>
          <cell r="H42">
            <v>113.58</v>
          </cell>
        </row>
        <row r="43">
          <cell r="D43">
            <v>1</v>
          </cell>
          <cell r="H43">
            <v>40.98</v>
          </cell>
        </row>
        <row r="44">
          <cell r="D44">
            <v>7</v>
          </cell>
          <cell r="H44">
            <v>94.33</v>
          </cell>
        </row>
        <row r="45">
          <cell r="D45">
            <v>1</v>
          </cell>
          <cell r="H45">
            <v>49.23</v>
          </cell>
        </row>
        <row r="46">
          <cell r="D46">
            <v>2</v>
          </cell>
          <cell r="H46">
            <v>98.45</v>
          </cell>
        </row>
        <row r="47">
          <cell r="D47">
            <v>4</v>
          </cell>
          <cell r="H47">
            <v>108.9</v>
          </cell>
        </row>
        <row r="48">
          <cell r="D48">
            <v>16</v>
          </cell>
          <cell r="H48">
            <v>127.6</v>
          </cell>
        </row>
        <row r="49">
          <cell r="D49">
            <v>10</v>
          </cell>
          <cell r="H49">
            <v>134.75</v>
          </cell>
        </row>
        <row r="50">
          <cell r="D50">
            <v>9</v>
          </cell>
          <cell r="H50">
            <v>121.28</v>
          </cell>
        </row>
        <row r="51">
          <cell r="D51">
            <v>8</v>
          </cell>
          <cell r="H51">
            <v>107.8</v>
          </cell>
        </row>
        <row r="52">
          <cell r="D52">
            <v>9</v>
          </cell>
          <cell r="H52">
            <v>121.28</v>
          </cell>
        </row>
        <row r="53">
          <cell r="D53">
            <v>18</v>
          </cell>
          <cell r="H53">
            <v>143.55000000000001</v>
          </cell>
        </row>
        <row r="54">
          <cell r="D54">
            <v>11</v>
          </cell>
          <cell r="H54">
            <v>148.22999999999999</v>
          </cell>
        </row>
        <row r="55">
          <cell r="D55">
            <v>21</v>
          </cell>
          <cell r="H55">
            <v>167.48</v>
          </cell>
        </row>
        <row r="56">
          <cell r="D56">
            <v>16</v>
          </cell>
          <cell r="H56">
            <v>171.6</v>
          </cell>
        </row>
        <row r="57">
          <cell r="D57">
            <v>11</v>
          </cell>
          <cell r="H57">
            <v>178.48</v>
          </cell>
        </row>
        <row r="58">
          <cell r="D58">
            <v>4</v>
          </cell>
          <cell r="H58">
            <v>163.9</v>
          </cell>
        </row>
        <row r="59">
          <cell r="D59">
            <v>20</v>
          </cell>
          <cell r="H59">
            <v>159.5</v>
          </cell>
        </row>
        <row r="60">
          <cell r="D60">
            <v>15</v>
          </cell>
          <cell r="H60">
            <v>160.88</v>
          </cell>
        </row>
        <row r="61">
          <cell r="D61">
            <v>5</v>
          </cell>
          <cell r="H61">
            <v>218.63</v>
          </cell>
        </row>
        <row r="62">
          <cell r="D62">
            <v>11</v>
          </cell>
          <cell r="H62">
            <v>148.22999999999999</v>
          </cell>
        </row>
        <row r="63">
          <cell r="D63">
            <v>14</v>
          </cell>
          <cell r="H63">
            <v>188.65</v>
          </cell>
        </row>
        <row r="64">
          <cell r="D64">
            <v>10</v>
          </cell>
          <cell r="H64">
            <v>189.75</v>
          </cell>
        </row>
        <row r="65">
          <cell r="D65">
            <v>10</v>
          </cell>
          <cell r="H65">
            <v>189.75</v>
          </cell>
        </row>
        <row r="66">
          <cell r="D66">
            <v>15</v>
          </cell>
          <cell r="H66">
            <v>202.13</v>
          </cell>
        </row>
        <row r="67">
          <cell r="D67">
            <v>16</v>
          </cell>
          <cell r="H67">
            <v>215.6</v>
          </cell>
        </row>
        <row r="68">
          <cell r="D68">
            <v>5</v>
          </cell>
          <cell r="H68">
            <v>218.63</v>
          </cell>
        </row>
        <row r="69">
          <cell r="D69">
            <v>21</v>
          </cell>
          <cell r="H69">
            <v>225.23</v>
          </cell>
        </row>
        <row r="70">
          <cell r="D70">
            <v>21</v>
          </cell>
          <cell r="H70">
            <v>225.23</v>
          </cell>
        </row>
        <row r="71">
          <cell r="D71">
            <v>30</v>
          </cell>
          <cell r="H71">
            <v>239.25</v>
          </cell>
        </row>
        <row r="72">
          <cell r="D72">
            <v>30</v>
          </cell>
          <cell r="H72">
            <v>239.25</v>
          </cell>
        </row>
        <row r="73">
          <cell r="D73">
            <v>4</v>
          </cell>
          <cell r="H73">
            <v>196.9</v>
          </cell>
        </row>
        <row r="74">
          <cell r="D74">
            <v>20</v>
          </cell>
          <cell r="H74">
            <v>269.5</v>
          </cell>
        </row>
        <row r="75">
          <cell r="D75">
            <v>24</v>
          </cell>
          <cell r="H75">
            <v>257.39999999999998</v>
          </cell>
        </row>
        <row r="76">
          <cell r="D76">
            <v>19</v>
          </cell>
          <cell r="H76">
            <v>256.02999999999997</v>
          </cell>
        </row>
        <row r="77">
          <cell r="D77">
            <v>26</v>
          </cell>
          <cell r="H77">
            <v>278.85000000000002</v>
          </cell>
        </row>
        <row r="78">
          <cell r="D78">
            <v>23</v>
          </cell>
          <cell r="H78">
            <v>309.93</v>
          </cell>
        </row>
        <row r="79">
          <cell r="D79">
            <v>6</v>
          </cell>
          <cell r="H79">
            <v>295.35000000000002</v>
          </cell>
        </row>
        <row r="80">
          <cell r="D80">
            <v>22</v>
          </cell>
          <cell r="H80">
            <v>296.45</v>
          </cell>
        </row>
        <row r="81">
          <cell r="D81">
            <v>28</v>
          </cell>
          <cell r="H81">
            <v>300.3</v>
          </cell>
        </row>
        <row r="82">
          <cell r="D82">
            <v>32</v>
          </cell>
          <cell r="H82">
            <v>343.2</v>
          </cell>
        </row>
        <row r="83">
          <cell r="D83">
            <v>28</v>
          </cell>
          <cell r="H83">
            <v>300.3</v>
          </cell>
        </row>
        <row r="84">
          <cell r="D84">
            <v>22</v>
          </cell>
          <cell r="H84">
            <v>235.95</v>
          </cell>
        </row>
        <row r="85">
          <cell r="D85">
            <v>19</v>
          </cell>
          <cell r="H85">
            <v>151.53</v>
          </cell>
        </row>
      </sheetData>
      <sheetData sheetId="32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44"/>
  <sheetViews>
    <sheetView showGridLines="0" tabSelected="1" zoomScaleNormal="100" workbookViewId="0">
      <selection activeCell="J227" sqref="J227"/>
    </sheetView>
  </sheetViews>
  <sheetFormatPr defaultColWidth="11.42578125" defaultRowHeight="15" customHeight="1" x14ac:dyDescent="0.25"/>
  <cols>
    <col min="1" max="1" width="22.140625" customWidth="1"/>
    <col min="2" max="2" width="18.28515625" style="1" customWidth="1"/>
    <col min="3" max="3" width="17" style="24" customWidth="1"/>
    <col min="4" max="4" width="20.85546875" style="28" customWidth="1"/>
    <col min="5" max="5" width="11.28515625" style="60" customWidth="1"/>
    <col min="6" max="6" width="8.7109375" style="1" hidden="1" customWidth="1"/>
    <col min="7" max="7" width="10.140625" style="65" customWidth="1"/>
    <col min="8" max="8" width="9" style="2" customWidth="1"/>
    <col min="9" max="9" width="11.42578125" style="46"/>
    <col min="10" max="10" width="14.42578125" style="1" bestFit="1" customWidth="1"/>
    <col min="12" max="12" width="15.28515625" customWidth="1"/>
    <col min="13" max="13" width="17.7109375" customWidth="1"/>
  </cols>
  <sheetData>
    <row r="1" spans="1:10" s="12" customFormat="1" ht="69" customHeight="1" x14ac:dyDescent="0.25">
      <c r="A1" s="11"/>
      <c r="B1" s="107" t="s">
        <v>205</v>
      </c>
      <c r="C1" s="107"/>
      <c r="D1" s="107"/>
      <c r="E1" s="107"/>
      <c r="F1" s="107"/>
      <c r="G1" s="107"/>
      <c r="H1" s="107"/>
      <c r="I1" s="95"/>
      <c r="J1" s="96" t="s">
        <v>202</v>
      </c>
    </row>
    <row r="2" spans="1:10" ht="16.5" customHeight="1" x14ac:dyDescent="0.25">
      <c r="A2" s="10" t="s">
        <v>0</v>
      </c>
      <c r="B2" s="80" t="s">
        <v>1</v>
      </c>
      <c r="C2" s="33" t="s">
        <v>203</v>
      </c>
      <c r="D2" s="34" t="s">
        <v>2</v>
      </c>
      <c r="E2" s="35" t="s">
        <v>223</v>
      </c>
      <c r="F2" s="35" t="s">
        <v>3</v>
      </c>
      <c r="G2" s="36" t="s">
        <v>4</v>
      </c>
      <c r="H2" s="37" t="s">
        <v>5</v>
      </c>
      <c r="I2" s="95"/>
      <c r="J2" s="96"/>
    </row>
    <row r="3" spans="1:10" x14ac:dyDescent="0.25">
      <c r="A3" s="114"/>
      <c r="B3" s="75" t="s">
        <v>143</v>
      </c>
      <c r="C3" s="21">
        <v>4251158730066</v>
      </c>
      <c r="D3" s="117" t="s">
        <v>206</v>
      </c>
      <c r="E3" s="60" t="s">
        <v>228</v>
      </c>
      <c r="F3" s="1" t="s">
        <v>170</v>
      </c>
      <c r="G3" s="65">
        <f>1600-5</f>
        <v>1595</v>
      </c>
      <c r="H3" s="3">
        <v>49.9</v>
      </c>
      <c r="I3" s="95"/>
      <c r="J3" s="97">
        <f>G3*H3</f>
        <v>79590.5</v>
      </c>
    </row>
    <row r="4" spans="1:10" x14ac:dyDescent="0.25">
      <c r="A4" s="109"/>
      <c r="B4" s="75" t="s">
        <v>144</v>
      </c>
      <c r="C4" s="21">
        <v>4251158730073</v>
      </c>
      <c r="D4" s="118"/>
      <c r="E4" s="60" t="s">
        <v>224</v>
      </c>
      <c r="F4" s="1" t="s">
        <v>170</v>
      </c>
      <c r="G4" s="65">
        <f>1367-10-1</f>
        <v>1356</v>
      </c>
      <c r="H4" s="3">
        <v>49.9</v>
      </c>
      <c r="I4" s="95"/>
      <c r="J4" s="97">
        <f t="shared" ref="J4:J9" si="0">G4*H4</f>
        <v>67664.399999999994</v>
      </c>
    </row>
    <row r="5" spans="1:10" x14ac:dyDescent="0.25">
      <c r="A5" s="109"/>
      <c r="B5" s="75" t="s">
        <v>145</v>
      </c>
      <c r="C5" s="21">
        <v>4251158730080</v>
      </c>
      <c r="D5" s="115" t="s">
        <v>216</v>
      </c>
      <c r="E5" s="60" t="s">
        <v>229</v>
      </c>
      <c r="F5" s="1" t="s">
        <v>170</v>
      </c>
      <c r="G5" s="65">
        <f>10-10</f>
        <v>0</v>
      </c>
      <c r="H5" s="3">
        <v>49.9</v>
      </c>
      <c r="I5" s="95"/>
      <c r="J5" s="97">
        <f t="shared" si="0"/>
        <v>0</v>
      </c>
    </row>
    <row r="6" spans="1:10" x14ac:dyDescent="0.25">
      <c r="A6" s="109"/>
      <c r="B6" s="75" t="s">
        <v>146</v>
      </c>
      <c r="C6" s="21">
        <v>4251158730097</v>
      </c>
      <c r="D6" s="115"/>
      <c r="E6" s="60" t="s">
        <v>225</v>
      </c>
      <c r="F6" s="1" t="s">
        <v>170</v>
      </c>
      <c r="G6" s="65">
        <f>5-5</f>
        <v>0</v>
      </c>
      <c r="H6" s="3">
        <v>49.9</v>
      </c>
      <c r="I6" s="95"/>
      <c r="J6" s="97">
        <f t="shared" si="0"/>
        <v>0</v>
      </c>
    </row>
    <row r="7" spans="1:10" x14ac:dyDescent="0.25">
      <c r="A7" s="109"/>
      <c r="B7" s="75" t="s">
        <v>147</v>
      </c>
      <c r="C7" s="21">
        <v>4251158730103</v>
      </c>
      <c r="D7" s="115" t="s">
        <v>207</v>
      </c>
      <c r="E7" s="60" t="s">
        <v>230</v>
      </c>
      <c r="F7" s="1" t="s">
        <v>170</v>
      </c>
      <c r="G7" s="65">
        <f>1-1</f>
        <v>0</v>
      </c>
      <c r="H7" s="3">
        <v>49.9</v>
      </c>
      <c r="I7" s="95"/>
      <c r="J7" s="97">
        <f t="shared" si="0"/>
        <v>0</v>
      </c>
    </row>
    <row r="8" spans="1:10" x14ac:dyDescent="0.25">
      <c r="A8" s="109"/>
      <c r="B8" s="75" t="s">
        <v>148</v>
      </c>
      <c r="C8" s="21">
        <v>4251158730110</v>
      </c>
      <c r="D8" s="115"/>
      <c r="E8" s="60" t="s">
        <v>226</v>
      </c>
      <c r="F8" s="1" t="s">
        <v>170</v>
      </c>
      <c r="G8" s="65">
        <f>115-20</f>
        <v>95</v>
      </c>
      <c r="H8" s="3">
        <v>49.9</v>
      </c>
      <c r="I8" s="95"/>
      <c r="J8" s="97">
        <f t="shared" si="0"/>
        <v>4740.5</v>
      </c>
    </row>
    <row r="9" spans="1:10" ht="16.5" customHeight="1" x14ac:dyDescent="0.25">
      <c r="A9" s="110"/>
      <c r="B9" s="76" t="s">
        <v>149</v>
      </c>
      <c r="C9" s="22">
        <v>4251158730127</v>
      </c>
      <c r="D9" s="116"/>
      <c r="E9" s="63" t="s">
        <v>227</v>
      </c>
      <c r="F9" s="4" t="s">
        <v>170</v>
      </c>
      <c r="G9" s="66">
        <f>102-15</f>
        <v>87</v>
      </c>
      <c r="H9" s="5">
        <v>49.9</v>
      </c>
      <c r="I9" s="95"/>
      <c r="J9" s="97">
        <f t="shared" si="0"/>
        <v>4341.3</v>
      </c>
    </row>
    <row r="10" spans="1:10" ht="18.75" customHeight="1" thickBot="1" x14ac:dyDescent="0.3">
      <c r="A10" s="38" t="s">
        <v>204</v>
      </c>
      <c r="B10" s="39"/>
      <c r="C10" s="40"/>
      <c r="D10" s="41"/>
      <c r="E10" s="61"/>
      <c r="F10" s="42"/>
      <c r="G10" s="67">
        <f>SUM(G3:G9)</f>
        <v>3133</v>
      </c>
      <c r="H10" s="43"/>
      <c r="I10" s="95">
        <f>G10</f>
        <v>3133</v>
      </c>
      <c r="J10" s="96"/>
    </row>
    <row r="11" spans="1:10" ht="16.5" customHeight="1" thickTop="1" x14ac:dyDescent="0.25">
      <c r="A11" s="108"/>
      <c r="B11" s="75" t="s">
        <v>136</v>
      </c>
      <c r="C11" s="21">
        <v>4251158714417</v>
      </c>
      <c r="D11" s="117" t="s">
        <v>206</v>
      </c>
      <c r="E11" s="60" t="s">
        <v>228</v>
      </c>
      <c r="F11" s="6" t="s">
        <v>170</v>
      </c>
      <c r="G11" s="65">
        <f>1236-8</f>
        <v>1228</v>
      </c>
      <c r="H11" s="3">
        <v>49.9</v>
      </c>
      <c r="I11" s="95"/>
      <c r="J11" s="97">
        <f>G11*H11</f>
        <v>61277.2</v>
      </c>
    </row>
    <row r="12" spans="1:10" x14ac:dyDescent="0.25">
      <c r="A12" s="109"/>
      <c r="B12" s="75" t="s">
        <v>137</v>
      </c>
      <c r="C12" s="21">
        <v>4251158711027</v>
      </c>
      <c r="D12" s="118"/>
      <c r="E12" s="60" t="s">
        <v>224</v>
      </c>
      <c r="F12" s="1" t="s">
        <v>170</v>
      </c>
      <c r="G12" s="65">
        <f>3-3</f>
        <v>0</v>
      </c>
      <c r="H12" s="3">
        <v>49.9</v>
      </c>
      <c r="I12" s="95"/>
      <c r="J12" s="97">
        <f t="shared" ref="J12:J17" si="1">G12*H12</f>
        <v>0</v>
      </c>
    </row>
    <row r="13" spans="1:10" x14ac:dyDescent="0.25">
      <c r="A13" s="109"/>
      <c r="B13" s="75" t="s">
        <v>138</v>
      </c>
      <c r="C13" s="21">
        <v>4251158711034</v>
      </c>
      <c r="D13" s="115" t="s">
        <v>216</v>
      </c>
      <c r="E13" s="60" t="s">
        <v>229</v>
      </c>
      <c r="F13" s="1" t="s">
        <v>170</v>
      </c>
      <c r="G13" s="65">
        <f>733-25</f>
        <v>708</v>
      </c>
      <c r="H13" s="3">
        <v>49.9</v>
      </c>
      <c r="I13" s="95"/>
      <c r="J13" s="97">
        <f t="shared" si="1"/>
        <v>35329.199999999997</v>
      </c>
    </row>
    <row r="14" spans="1:10" x14ac:dyDescent="0.25">
      <c r="A14" s="109"/>
      <c r="B14" s="75" t="s">
        <v>139</v>
      </c>
      <c r="C14" s="21">
        <v>4251158711041</v>
      </c>
      <c r="D14" s="115"/>
      <c r="E14" s="60" t="s">
        <v>225</v>
      </c>
      <c r="F14" s="1" t="s">
        <v>170</v>
      </c>
      <c r="G14" s="65">
        <f>221-25</f>
        <v>196</v>
      </c>
      <c r="H14" s="3">
        <v>49.9</v>
      </c>
      <c r="I14" s="95"/>
      <c r="J14" s="97">
        <f t="shared" si="1"/>
        <v>9780.4</v>
      </c>
    </row>
    <row r="15" spans="1:10" x14ac:dyDescent="0.25">
      <c r="A15" s="109"/>
      <c r="B15" s="75" t="s">
        <v>140</v>
      </c>
      <c r="C15" s="21">
        <v>4251158711058</v>
      </c>
      <c r="D15" s="115" t="s">
        <v>208</v>
      </c>
      <c r="E15" s="60" t="s">
        <v>230</v>
      </c>
      <c r="F15" s="1" t="s">
        <v>170</v>
      </c>
      <c r="G15" s="65">
        <f>48-25</f>
        <v>23</v>
      </c>
      <c r="H15" s="3">
        <v>49.9</v>
      </c>
      <c r="I15" s="95"/>
      <c r="J15" s="97">
        <f t="shared" si="1"/>
        <v>1147.7</v>
      </c>
    </row>
    <row r="16" spans="1:10" x14ac:dyDescent="0.25">
      <c r="A16" s="109"/>
      <c r="B16" s="75" t="s">
        <v>141</v>
      </c>
      <c r="C16" s="21">
        <v>4251158711065</v>
      </c>
      <c r="D16" s="115"/>
      <c r="E16" s="60" t="s">
        <v>226</v>
      </c>
      <c r="F16" s="1" t="s">
        <v>170</v>
      </c>
      <c r="G16" s="65">
        <f>87-20</f>
        <v>67</v>
      </c>
      <c r="H16" s="3">
        <v>49.9</v>
      </c>
      <c r="I16" s="95"/>
      <c r="J16" s="97">
        <f t="shared" si="1"/>
        <v>3343.2999999999997</v>
      </c>
    </row>
    <row r="17" spans="1:13" x14ac:dyDescent="0.25">
      <c r="A17" s="110"/>
      <c r="B17" s="76" t="s">
        <v>142</v>
      </c>
      <c r="C17" s="22">
        <v>4251158714943</v>
      </c>
      <c r="D17" s="116"/>
      <c r="E17" s="63" t="s">
        <v>227</v>
      </c>
      <c r="F17" s="4" t="s">
        <v>170</v>
      </c>
      <c r="G17" s="66">
        <f>93-15</f>
        <v>78</v>
      </c>
      <c r="H17" s="5">
        <v>49.9</v>
      </c>
      <c r="I17" s="95"/>
      <c r="J17" s="97">
        <f t="shared" si="1"/>
        <v>3892.2</v>
      </c>
    </row>
    <row r="18" spans="1:13" ht="16.5" customHeight="1" thickBot="1" x14ac:dyDescent="0.3">
      <c r="A18" s="38" t="s">
        <v>204</v>
      </c>
      <c r="B18" s="39"/>
      <c r="C18" s="40"/>
      <c r="D18" s="41"/>
      <c r="E18" s="61"/>
      <c r="F18" s="42"/>
      <c r="G18" s="67">
        <f>SUM(G11:G17)</f>
        <v>2300</v>
      </c>
      <c r="H18" s="43"/>
      <c r="I18" s="95">
        <f>G18</f>
        <v>2300</v>
      </c>
      <c r="J18" s="96"/>
    </row>
    <row r="19" spans="1:13" ht="15.75" customHeight="1" thickTop="1" x14ac:dyDescent="0.25">
      <c r="A19" s="108"/>
      <c r="B19" s="75" t="s">
        <v>62</v>
      </c>
      <c r="C19" s="21">
        <v>4251158715834</v>
      </c>
      <c r="D19" s="117" t="s">
        <v>206</v>
      </c>
      <c r="E19" s="60" t="s">
        <v>228</v>
      </c>
      <c r="F19" s="1" t="s">
        <v>36</v>
      </c>
      <c r="G19" s="65">
        <v>461</v>
      </c>
      <c r="H19" s="3">
        <v>49.9</v>
      </c>
      <c r="I19" s="95"/>
      <c r="J19" s="97">
        <f>G19*H19</f>
        <v>23003.899999999998</v>
      </c>
    </row>
    <row r="20" spans="1:13" x14ac:dyDescent="0.25">
      <c r="A20" s="109"/>
      <c r="B20" s="75" t="s">
        <v>63</v>
      </c>
      <c r="C20" s="21">
        <v>4251158715841</v>
      </c>
      <c r="D20" s="118"/>
      <c r="E20" s="60" t="s">
        <v>224</v>
      </c>
      <c r="F20" s="1" t="s">
        <v>36</v>
      </c>
      <c r="G20" s="65">
        <v>340</v>
      </c>
      <c r="H20" s="3">
        <v>49.9</v>
      </c>
      <c r="I20" s="95"/>
      <c r="J20" s="97">
        <f t="shared" ref="J20:J25" si="2">G20*H20</f>
        <v>16966</v>
      </c>
    </row>
    <row r="21" spans="1:13" x14ac:dyDescent="0.25">
      <c r="A21" s="109"/>
      <c r="B21" s="75" t="s">
        <v>64</v>
      </c>
      <c r="C21" s="21">
        <v>4251158715858</v>
      </c>
      <c r="D21" s="115" t="s">
        <v>215</v>
      </c>
      <c r="E21" s="60" t="s">
        <v>229</v>
      </c>
      <c r="F21" s="1" t="s">
        <v>36</v>
      </c>
      <c r="G21" s="65">
        <v>324</v>
      </c>
      <c r="H21" s="3">
        <v>49.9</v>
      </c>
      <c r="I21" s="95"/>
      <c r="J21" s="97">
        <f t="shared" si="2"/>
        <v>16167.6</v>
      </c>
    </row>
    <row r="22" spans="1:13" x14ac:dyDescent="0.25">
      <c r="A22" s="109"/>
      <c r="B22" s="75" t="s">
        <v>65</v>
      </c>
      <c r="C22" s="21">
        <v>4251158715865</v>
      </c>
      <c r="D22" s="115"/>
      <c r="E22" s="60" t="s">
        <v>225</v>
      </c>
      <c r="F22" s="1" t="s">
        <v>36</v>
      </c>
      <c r="G22" s="65">
        <f>397-1</f>
        <v>396</v>
      </c>
      <c r="H22" s="3">
        <v>49.9</v>
      </c>
      <c r="I22" s="95"/>
      <c r="J22" s="97">
        <f t="shared" si="2"/>
        <v>19760.399999999998</v>
      </c>
    </row>
    <row r="23" spans="1:13" x14ac:dyDescent="0.25">
      <c r="A23" s="109"/>
      <c r="B23" s="75" t="s">
        <v>66</v>
      </c>
      <c r="C23" s="21">
        <v>4251158715872</v>
      </c>
      <c r="D23" s="115" t="s">
        <v>209</v>
      </c>
      <c r="E23" s="60" t="s">
        <v>230</v>
      </c>
      <c r="F23" s="1" t="s">
        <v>36</v>
      </c>
      <c r="G23" s="65">
        <v>88</v>
      </c>
      <c r="H23" s="3">
        <v>49.9</v>
      </c>
      <c r="I23" s="95"/>
      <c r="J23" s="97">
        <f t="shared" si="2"/>
        <v>4391.2</v>
      </c>
    </row>
    <row r="24" spans="1:13" x14ac:dyDescent="0.25">
      <c r="A24" s="109"/>
      <c r="B24" s="75" t="s">
        <v>67</v>
      </c>
      <c r="C24" s="21">
        <v>4251158715889</v>
      </c>
      <c r="D24" s="115"/>
      <c r="E24" s="60" t="s">
        <v>226</v>
      </c>
      <c r="F24" s="1" t="s">
        <v>36</v>
      </c>
      <c r="G24" s="65">
        <v>155</v>
      </c>
      <c r="H24" s="3">
        <v>49.9</v>
      </c>
      <c r="I24" s="95"/>
      <c r="J24" s="97">
        <f t="shared" si="2"/>
        <v>7734.5</v>
      </c>
    </row>
    <row r="25" spans="1:13" ht="17.25" customHeight="1" x14ac:dyDescent="0.25">
      <c r="A25" s="110"/>
      <c r="B25" s="75" t="s">
        <v>68</v>
      </c>
      <c r="C25" s="21">
        <v>4251158715896</v>
      </c>
      <c r="D25" s="116"/>
      <c r="E25" s="63" t="s">
        <v>227</v>
      </c>
      <c r="F25" s="1" t="s">
        <v>36</v>
      </c>
      <c r="G25" s="65">
        <v>303</v>
      </c>
      <c r="H25" s="3">
        <v>49.9</v>
      </c>
      <c r="I25" s="95"/>
      <c r="J25" s="97">
        <f t="shared" si="2"/>
        <v>15119.699999999999</v>
      </c>
    </row>
    <row r="26" spans="1:13" ht="16.5" customHeight="1" thickBot="1" x14ac:dyDescent="0.3">
      <c r="A26" s="38" t="s">
        <v>204</v>
      </c>
      <c r="B26" s="39"/>
      <c r="C26" s="40"/>
      <c r="D26" s="41"/>
      <c r="E26" s="61"/>
      <c r="F26" s="42"/>
      <c r="G26" s="67">
        <f>SUM(G19:G25)</f>
        <v>2067</v>
      </c>
      <c r="H26" s="43"/>
      <c r="I26" s="95">
        <f>G26</f>
        <v>2067</v>
      </c>
      <c r="J26" s="96"/>
    </row>
    <row r="27" spans="1:13" ht="18" customHeight="1" thickTop="1" x14ac:dyDescent="0.25">
      <c r="A27" s="108"/>
      <c r="B27" s="81" t="s">
        <v>131</v>
      </c>
      <c r="C27" s="71">
        <v>4251158729367</v>
      </c>
      <c r="D27" s="117" t="s">
        <v>210</v>
      </c>
      <c r="E27" s="60" t="s">
        <v>228</v>
      </c>
      <c r="F27" s="6"/>
      <c r="G27" s="72">
        <f>1327-5</f>
        <v>1322</v>
      </c>
      <c r="H27" s="7">
        <v>39.9</v>
      </c>
      <c r="I27" s="95"/>
      <c r="J27" s="97">
        <f>G27*H27</f>
        <v>52747.799999999996</v>
      </c>
      <c r="L27" s="32"/>
      <c r="M27" s="21"/>
    </row>
    <row r="28" spans="1:13" ht="15" customHeight="1" x14ac:dyDescent="0.25">
      <c r="A28" s="109"/>
      <c r="B28" s="81" t="s">
        <v>129</v>
      </c>
      <c r="C28" s="71">
        <v>4251158729374</v>
      </c>
      <c r="D28" s="118"/>
      <c r="E28" s="60" t="s">
        <v>224</v>
      </c>
      <c r="G28" s="72">
        <f>345-10</f>
        <v>335</v>
      </c>
      <c r="H28" s="3">
        <v>39.9</v>
      </c>
      <c r="I28" s="95"/>
      <c r="J28" s="97">
        <f t="shared" ref="J28:J218" si="3">G28*H28</f>
        <v>13366.5</v>
      </c>
      <c r="L28" s="32"/>
      <c r="M28" s="21"/>
    </row>
    <row r="29" spans="1:13" ht="15" customHeight="1" x14ac:dyDescent="0.25">
      <c r="A29" s="109"/>
      <c r="B29" s="81" t="s">
        <v>128</v>
      </c>
      <c r="C29" s="71">
        <v>4251158729381</v>
      </c>
      <c r="D29" s="115" t="s">
        <v>215</v>
      </c>
      <c r="E29" s="60" t="s">
        <v>229</v>
      </c>
      <c r="G29" s="72">
        <f>17-17</f>
        <v>0</v>
      </c>
      <c r="H29" s="3">
        <v>39.9</v>
      </c>
      <c r="I29" s="95"/>
      <c r="J29" s="97">
        <f t="shared" si="3"/>
        <v>0</v>
      </c>
      <c r="L29" s="32"/>
      <c r="M29" s="21"/>
    </row>
    <row r="30" spans="1:13" ht="15" customHeight="1" x14ac:dyDescent="0.25">
      <c r="A30" s="109"/>
      <c r="B30" s="81" t="s">
        <v>127</v>
      </c>
      <c r="C30" s="71">
        <v>4251158729398</v>
      </c>
      <c r="D30" s="115"/>
      <c r="E30" s="60" t="s">
        <v>225</v>
      </c>
      <c r="G30" s="72">
        <f>37-37</f>
        <v>0</v>
      </c>
      <c r="H30" s="3">
        <v>39.9</v>
      </c>
      <c r="I30" s="95"/>
      <c r="J30" s="97">
        <f t="shared" si="3"/>
        <v>0</v>
      </c>
      <c r="L30" s="32"/>
      <c r="M30" s="21"/>
    </row>
    <row r="31" spans="1:13" ht="15" customHeight="1" x14ac:dyDescent="0.25">
      <c r="A31" s="109"/>
      <c r="B31" s="81" t="s">
        <v>130</v>
      </c>
      <c r="C31" s="71">
        <v>4251158729404</v>
      </c>
      <c r="D31" s="115" t="s">
        <v>211</v>
      </c>
      <c r="E31" s="60" t="s">
        <v>230</v>
      </c>
      <c r="G31" s="72">
        <f>6-6</f>
        <v>0</v>
      </c>
      <c r="H31" s="3">
        <v>39.9</v>
      </c>
      <c r="I31" s="95"/>
      <c r="J31" s="97">
        <f t="shared" si="3"/>
        <v>0</v>
      </c>
      <c r="L31" s="32"/>
      <c r="M31" s="21"/>
    </row>
    <row r="32" spans="1:13" ht="15" customHeight="1" x14ac:dyDescent="0.25">
      <c r="A32" s="109"/>
      <c r="B32" s="78" t="s">
        <v>132</v>
      </c>
      <c r="C32" s="21">
        <v>4251158729411</v>
      </c>
      <c r="D32" s="115"/>
      <c r="E32" s="60" t="s">
        <v>226</v>
      </c>
      <c r="F32" s="1" t="s">
        <v>77</v>
      </c>
      <c r="G32" s="65">
        <f>115-25</f>
        <v>90</v>
      </c>
      <c r="H32" s="3">
        <v>39.9</v>
      </c>
      <c r="I32" s="95"/>
      <c r="J32" s="97">
        <f t="shared" si="3"/>
        <v>3591</v>
      </c>
      <c r="L32" s="32"/>
      <c r="M32" s="21"/>
    </row>
    <row r="33" spans="1:14" ht="15" customHeight="1" x14ac:dyDescent="0.25">
      <c r="A33" s="110"/>
      <c r="B33" s="82" t="s">
        <v>133</v>
      </c>
      <c r="C33" s="22">
        <v>4251158729428</v>
      </c>
      <c r="D33" s="116"/>
      <c r="E33" s="63" t="s">
        <v>227</v>
      </c>
      <c r="F33" s="4" t="s">
        <v>77</v>
      </c>
      <c r="G33" s="66">
        <f>145-15</f>
        <v>130</v>
      </c>
      <c r="H33" s="5">
        <v>39.9</v>
      </c>
      <c r="I33" s="95"/>
      <c r="J33" s="97">
        <f t="shared" si="3"/>
        <v>5187</v>
      </c>
      <c r="L33" s="32"/>
      <c r="M33" s="21"/>
    </row>
    <row r="34" spans="1:14" ht="15.75" thickBot="1" x14ac:dyDescent="0.3">
      <c r="A34" s="38" t="s">
        <v>204</v>
      </c>
      <c r="B34" s="39"/>
      <c r="C34" s="40"/>
      <c r="D34" s="41"/>
      <c r="E34" s="61"/>
      <c r="F34" s="42"/>
      <c r="G34" s="67">
        <f>SUM(G27:G33)</f>
        <v>1877</v>
      </c>
      <c r="H34" s="43"/>
      <c r="I34" s="95">
        <f>G34</f>
        <v>1877</v>
      </c>
      <c r="J34" s="96"/>
    </row>
    <row r="35" spans="1:14" ht="15.75" customHeight="1" thickTop="1" x14ac:dyDescent="0.25">
      <c r="A35" s="108"/>
      <c r="B35" s="1" t="s">
        <v>191</v>
      </c>
      <c r="C35" s="71">
        <v>4251158729787</v>
      </c>
      <c r="D35" s="117" t="s">
        <v>210</v>
      </c>
      <c r="E35" s="60" t="s">
        <v>228</v>
      </c>
      <c r="F35" s="6"/>
      <c r="G35" s="68">
        <f>649-5</f>
        <v>644</v>
      </c>
      <c r="H35" s="7">
        <v>39.9</v>
      </c>
      <c r="I35" s="95"/>
      <c r="J35" s="97">
        <f t="shared" si="3"/>
        <v>25695.599999999999</v>
      </c>
    </row>
    <row r="36" spans="1:14" ht="15" customHeight="1" x14ac:dyDescent="0.25">
      <c r="A36" s="109"/>
      <c r="B36" s="1" t="s">
        <v>189</v>
      </c>
      <c r="C36" s="71">
        <v>4251158729794</v>
      </c>
      <c r="D36" s="118"/>
      <c r="E36" s="60" t="s">
        <v>224</v>
      </c>
      <c r="G36" s="65">
        <f>852-10</f>
        <v>842</v>
      </c>
      <c r="H36" s="3">
        <v>39.9</v>
      </c>
      <c r="I36" s="95"/>
      <c r="J36" s="97">
        <f t="shared" si="3"/>
        <v>33595.799999999996</v>
      </c>
    </row>
    <row r="37" spans="1:14" ht="15" customHeight="1" x14ac:dyDescent="0.25">
      <c r="A37" s="109"/>
      <c r="B37" s="1" t="s">
        <v>188</v>
      </c>
      <c r="C37" s="71">
        <v>4251158729800</v>
      </c>
      <c r="D37" s="115" t="s">
        <v>216</v>
      </c>
      <c r="E37" s="60" t="s">
        <v>229</v>
      </c>
      <c r="G37" s="65">
        <f>17-17</f>
        <v>0</v>
      </c>
      <c r="H37" s="3">
        <v>39.9</v>
      </c>
      <c r="I37" s="95"/>
      <c r="J37" s="97">
        <f t="shared" si="3"/>
        <v>0</v>
      </c>
    </row>
    <row r="38" spans="1:14" ht="15" customHeight="1" x14ac:dyDescent="0.25">
      <c r="A38" s="109"/>
      <c r="B38" s="1" t="s">
        <v>187</v>
      </c>
      <c r="C38" s="71">
        <v>4251158729817</v>
      </c>
      <c r="D38" s="115"/>
      <c r="E38" s="60" t="s">
        <v>225</v>
      </c>
      <c r="G38" s="65">
        <f>14-14</f>
        <v>0</v>
      </c>
      <c r="H38" s="3">
        <v>39.9</v>
      </c>
      <c r="I38" s="95"/>
      <c r="J38" s="97">
        <f t="shared" si="3"/>
        <v>0</v>
      </c>
    </row>
    <row r="39" spans="1:14" ht="15" customHeight="1" x14ac:dyDescent="0.25">
      <c r="A39" s="109"/>
      <c r="B39" s="1" t="s">
        <v>190</v>
      </c>
      <c r="C39" s="71">
        <v>4251158729824</v>
      </c>
      <c r="D39" s="115" t="s">
        <v>211</v>
      </c>
      <c r="E39" s="60" t="s">
        <v>230</v>
      </c>
      <c r="G39" s="65">
        <f>21-21</f>
        <v>0</v>
      </c>
      <c r="H39" s="3">
        <v>39.9</v>
      </c>
      <c r="I39" s="95"/>
      <c r="J39" s="97">
        <f t="shared" si="3"/>
        <v>0</v>
      </c>
    </row>
    <row r="40" spans="1:14" ht="15" customHeight="1" x14ac:dyDescent="0.25">
      <c r="A40" s="109"/>
      <c r="B40" s="75" t="s">
        <v>192</v>
      </c>
      <c r="C40" s="21">
        <v>4251158729831</v>
      </c>
      <c r="D40" s="115"/>
      <c r="E40" s="60" t="s">
        <v>226</v>
      </c>
      <c r="F40" s="1" t="s">
        <v>170</v>
      </c>
      <c r="G40" s="65">
        <f>109-20</f>
        <v>89</v>
      </c>
      <c r="H40" s="3">
        <v>39.9</v>
      </c>
      <c r="I40" s="95"/>
      <c r="J40" s="97">
        <f t="shared" si="3"/>
        <v>3551.1</v>
      </c>
    </row>
    <row r="41" spans="1:14" ht="15" customHeight="1" x14ac:dyDescent="0.25">
      <c r="A41" s="110"/>
      <c r="B41" s="76" t="s">
        <v>193</v>
      </c>
      <c r="C41" s="22">
        <v>4251158729848</v>
      </c>
      <c r="D41" s="116"/>
      <c r="E41" s="63" t="s">
        <v>227</v>
      </c>
      <c r="F41" s="4" t="s">
        <v>170</v>
      </c>
      <c r="G41" s="66">
        <f>176-15</f>
        <v>161</v>
      </c>
      <c r="H41" s="5">
        <v>39.9</v>
      </c>
      <c r="I41" s="95"/>
      <c r="J41" s="97">
        <f t="shared" si="3"/>
        <v>6423.9</v>
      </c>
    </row>
    <row r="42" spans="1:14" ht="15.75" thickBot="1" x14ac:dyDescent="0.3">
      <c r="A42" s="38" t="s">
        <v>204</v>
      </c>
      <c r="B42" s="39"/>
      <c r="C42" s="40"/>
      <c r="D42" s="41"/>
      <c r="E42" s="61"/>
      <c r="F42" s="42"/>
      <c r="G42" s="67">
        <f>SUM(G35:G41)</f>
        <v>1736</v>
      </c>
      <c r="H42" s="43"/>
      <c r="I42" s="95">
        <f>G42</f>
        <v>1736</v>
      </c>
      <c r="J42" s="96"/>
    </row>
    <row r="43" spans="1:14" ht="15.75" customHeight="1" thickTop="1" x14ac:dyDescent="0.25">
      <c r="A43" s="108"/>
      <c r="B43" s="1" t="s">
        <v>94</v>
      </c>
      <c r="C43" s="71">
        <v>4251158729572</v>
      </c>
      <c r="D43" s="117" t="s">
        <v>206</v>
      </c>
      <c r="E43" s="60" t="s">
        <v>228</v>
      </c>
      <c r="F43" s="6"/>
      <c r="G43" s="68">
        <f>719-5</f>
        <v>714</v>
      </c>
      <c r="H43" s="7">
        <v>49.9</v>
      </c>
      <c r="I43" s="95"/>
      <c r="J43" s="97">
        <f t="shared" si="3"/>
        <v>35628.6</v>
      </c>
      <c r="L43" s="60"/>
      <c r="M43" s="1"/>
      <c r="N43" s="65"/>
    </row>
    <row r="44" spans="1:14" ht="15" customHeight="1" x14ac:dyDescent="0.25">
      <c r="A44" s="109"/>
      <c r="B44" s="1" t="s">
        <v>92</v>
      </c>
      <c r="C44" s="71">
        <v>4251158729589</v>
      </c>
      <c r="D44" s="118"/>
      <c r="E44" s="60" t="s">
        <v>224</v>
      </c>
      <c r="G44" s="65">
        <f>805-10</f>
        <v>795</v>
      </c>
      <c r="H44" s="3">
        <v>49.9</v>
      </c>
      <c r="I44" s="95"/>
      <c r="J44" s="97">
        <f t="shared" si="3"/>
        <v>39670.5</v>
      </c>
      <c r="L44" s="60"/>
      <c r="M44" s="1"/>
      <c r="N44" s="65"/>
    </row>
    <row r="45" spans="1:14" ht="15" customHeight="1" x14ac:dyDescent="0.25">
      <c r="A45" s="109"/>
      <c r="B45" s="1" t="s">
        <v>91</v>
      </c>
      <c r="C45" s="71">
        <v>4251158729596</v>
      </c>
      <c r="D45" s="115" t="s">
        <v>215</v>
      </c>
      <c r="E45" s="60" t="s">
        <v>229</v>
      </c>
      <c r="G45" s="65">
        <f>29-29</f>
        <v>0</v>
      </c>
      <c r="H45" s="3">
        <v>49.9</v>
      </c>
      <c r="I45" s="95"/>
      <c r="J45" s="97">
        <f t="shared" si="3"/>
        <v>0</v>
      </c>
      <c r="L45" s="60"/>
      <c r="M45" s="1"/>
      <c r="N45" s="65"/>
    </row>
    <row r="46" spans="1:14" ht="15" customHeight="1" x14ac:dyDescent="0.25">
      <c r="A46" s="109"/>
      <c r="B46" s="1" t="s">
        <v>90</v>
      </c>
      <c r="C46" s="71">
        <v>4251158729602</v>
      </c>
      <c r="D46" s="115"/>
      <c r="E46" s="60" t="s">
        <v>225</v>
      </c>
      <c r="G46" s="65">
        <f>26-26</f>
        <v>0</v>
      </c>
      <c r="H46" s="3">
        <v>49.9</v>
      </c>
      <c r="I46" s="95"/>
      <c r="J46" s="97">
        <f t="shared" si="3"/>
        <v>0</v>
      </c>
      <c r="L46" s="60"/>
      <c r="M46" s="1"/>
      <c r="N46" s="65"/>
    </row>
    <row r="47" spans="1:14" ht="15" customHeight="1" x14ac:dyDescent="0.25">
      <c r="A47" s="109"/>
      <c r="B47" s="1" t="s">
        <v>93</v>
      </c>
      <c r="C47" s="71">
        <v>4251158729619</v>
      </c>
      <c r="D47" s="115" t="s">
        <v>211</v>
      </c>
      <c r="E47" s="60" t="s">
        <v>230</v>
      </c>
      <c r="G47" s="65">
        <f>107-30</f>
        <v>77</v>
      </c>
      <c r="H47" s="3">
        <v>49.9</v>
      </c>
      <c r="I47" s="95"/>
      <c r="J47" s="97">
        <f t="shared" si="3"/>
        <v>3842.2999999999997</v>
      </c>
      <c r="L47" s="60"/>
      <c r="M47" s="1"/>
      <c r="N47" s="65"/>
    </row>
    <row r="48" spans="1:14" ht="15" customHeight="1" x14ac:dyDescent="0.25">
      <c r="A48" s="109"/>
      <c r="B48" s="75" t="s">
        <v>95</v>
      </c>
      <c r="C48" s="21">
        <v>4251158729626</v>
      </c>
      <c r="D48" s="115"/>
      <c r="E48" s="60" t="s">
        <v>226</v>
      </c>
      <c r="F48" s="1" t="s">
        <v>77</v>
      </c>
      <c r="G48" s="65">
        <f>2-2</f>
        <v>0</v>
      </c>
      <c r="H48" s="3">
        <v>49.9</v>
      </c>
      <c r="I48" s="95"/>
      <c r="J48" s="97">
        <f t="shared" si="3"/>
        <v>0</v>
      </c>
    </row>
    <row r="49" spans="1:14" ht="15" customHeight="1" x14ac:dyDescent="0.25">
      <c r="A49" s="110"/>
      <c r="B49" s="76" t="s">
        <v>96</v>
      </c>
      <c r="C49" s="22">
        <v>4251158729633</v>
      </c>
      <c r="D49" s="116"/>
      <c r="E49" s="63" t="s">
        <v>227</v>
      </c>
      <c r="F49" s="4" t="s">
        <v>77</v>
      </c>
      <c r="G49" s="66">
        <f>139-15</f>
        <v>124</v>
      </c>
      <c r="H49" s="5">
        <v>49.9</v>
      </c>
      <c r="I49" s="95"/>
      <c r="J49" s="97">
        <f t="shared" si="3"/>
        <v>6187.5999999999995</v>
      </c>
    </row>
    <row r="50" spans="1:14" ht="15.75" thickBot="1" x14ac:dyDescent="0.3">
      <c r="A50" s="55" t="s">
        <v>204</v>
      </c>
      <c r="B50" s="39"/>
      <c r="C50" s="40"/>
      <c r="D50" s="41"/>
      <c r="E50" s="61"/>
      <c r="F50" s="42"/>
      <c r="G50" s="67">
        <f>SUM(G43:G49)</f>
        <v>1710</v>
      </c>
      <c r="H50" s="43"/>
      <c r="I50" s="95">
        <f>G50</f>
        <v>1710</v>
      </c>
      <c r="J50" s="96"/>
    </row>
    <row r="51" spans="1:14" ht="15.75" customHeight="1" thickTop="1" x14ac:dyDescent="0.25">
      <c r="A51" s="109"/>
      <c r="B51" s="75" t="s">
        <v>155</v>
      </c>
      <c r="C51" s="21">
        <v>4251158716114</v>
      </c>
      <c r="D51" s="117" t="s">
        <v>206</v>
      </c>
      <c r="E51" s="60" t="s">
        <v>228</v>
      </c>
      <c r="F51" s="6" t="s">
        <v>170</v>
      </c>
      <c r="G51" s="65">
        <f>280-5</f>
        <v>275</v>
      </c>
      <c r="H51" s="3">
        <v>49.9</v>
      </c>
      <c r="I51" s="95"/>
      <c r="J51" s="97">
        <f t="shared" si="3"/>
        <v>13722.5</v>
      </c>
    </row>
    <row r="52" spans="1:14" x14ac:dyDescent="0.25">
      <c r="A52" s="109"/>
      <c r="B52" s="75" t="s">
        <v>156</v>
      </c>
      <c r="C52" s="21">
        <v>4251158716121</v>
      </c>
      <c r="D52" s="118"/>
      <c r="E52" s="60" t="s">
        <v>224</v>
      </c>
      <c r="F52" s="1" t="s">
        <v>170</v>
      </c>
      <c r="G52" s="65">
        <f>121-10</f>
        <v>111</v>
      </c>
      <c r="H52" s="3">
        <v>49.9</v>
      </c>
      <c r="I52" s="95"/>
      <c r="J52" s="97">
        <f t="shared" si="3"/>
        <v>5538.9</v>
      </c>
    </row>
    <row r="53" spans="1:14" x14ac:dyDescent="0.25">
      <c r="A53" s="109"/>
      <c r="B53" s="75" t="s">
        <v>157</v>
      </c>
      <c r="C53" s="21">
        <v>4251158716138</v>
      </c>
      <c r="D53" s="115" t="s">
        <v>216</v>
      </c>
      <c r="E53" s="60" t="s">
        <v>229</v>
      </c>
      <c r="F53" s="1" t="s">
        <v>170</v>
      </c>
      <c r="G53" s="65">
        <f>317-25</f>
        <v>292</v>
      </c>
      <c r="H53" s="3">
        <v>49.9</v>
      </c>
      <c r="I53" s="95"/>
      <c r="J53" s="97">
        <f t="shared" si="3"/>
        <v>14570.8</v>
      </c>
    </row>
    <row r="54" spans="1:14" x14ac:dyDescent="0.25">
      <c r="A54" s="109"/>
      <c r="B54" s="75" t="s">
        <v>158</v>
      </c>
      <c r="C54" s="21">
        <v>4251158716145</v>
      </c>
      <c r="D54" s="115"/>
      <c r="E54" s="60" t="s">
        <v>225</v>
      </c>
      <c r="F54" s="1" t="s">
        <v>170</v>
      </c>
      <c r="G54" s="65">
        <f>694-25</f>
        <v>669</v>
      </c>
      <c r="H54" s="3">
        <v>49.9</v>
      </c>
      <c r="I54" s="95"/>
      <c r="J54" s="97">
        <f t="shared" si="3"/>
        <v>33383.1</v>
      </c>
    </row>
    <row r="55" spans="1:14" x14ac:dyDescent="0.25">
      <c r="A55" s="109"/>
      <c r="B55" s="75" t="s">
        <v>159</v>
      </c>
      <c r="C55" s="21">
        <v>4251158716152</v>
      </c>
      <c r="D55" s="115" t="s">
        <v>209</v>
      </c>
      <c r="E55" s="60" t="s">
        <v>230</v>
      </c>
      <c r="F55" s="1" t="s">
        <v>170</v>
      </c>
      <c r="G55" s="65">
        <f>10-10</f>
        <v>0</v>
      </c>
      <c r="H55" s="3">
        <v>49.9</v>
      </c>
      <c r="I55" s="95"/>
      <c r="J55" s="97">
        <f t="shared" si="3"/>
        <v>0</v>
      </c>
    </row>
    <row r="56" spans="1:14" x14ac:dyDescent="0.25">
      <c r="A56" s="109"/>
      <c r="B56" s="75" t="s">
        <v>160</v>
      </c>
      <c r="C56" s="21">
        <v>4251158716169</v>
      </c>
      <c r="D56" s="115"/>
      <c r="E56" s="60" t="s">
        <v>226</v>
      </c>
      <c r="F56" s="1" t="s">
        <v>170</v>
      </c>
      <c r="G56" s="65">
        <f>119-20</f>
        <v>99</v>
      </c>
      <c r="H56" s="3">
        <v>49.9</v>
      </c>
      <c r="I56" s="95"/>
      <c r="J56" s="97">
        <f t="shared" si="3"/>
        <v>4940.0999999999995</v>
      </c>
    </row>
    <row r="57" spans="1:14" ht="15.75" customHeight="1" x14ac:dyDescent="0.25">
      <c r="A57" s="110"/>
      <c r="B57" s="76" t="s">
        <v>161</v>
      </c>
      <c r="C57" s="22">
        <v>4251158716176</v>
      </c>
      <c r="D57" s="116"/>
      <c r="E57" s="63" t="s">
        <v>227</v>
      </c>
      <c r="F57" s="4" t="s">
        <v>170</v>
      </c>
      <c r="G57" s="66">
        <f>143-15</f>
        <v>128</v>
      </c>
      <c r="H57" s="5">
        <v>49.9</v>
      </c>
      <c r="I57" s="95"/>
      <c r="J57" s="97">
        <f t="shared" si="3"/>
        <v>6387.2</v>
      </c>
    </row>
    <row r="58" spans="1:14" ht="15.75" thickBot="1" x14ac:dyDescent="0.3">
      <c r="A58" s="54" t="s">
        <v>204</v>
      </c>
      <c r="B58" s="39"/>
      <c r="C58" s="40"/>
      <c r="D58" s="41"/>
      <c r="E58" s="61"/>
      <c r="F58" s="42"/>
      <c r="G58" s="67">
        <f>SUM(G51:G57)</f>
        <v>1574</v>
      </c>
      <c r="H58" s="43"/>
      <c r="I58" s="95">
        <f>G58</f>
        <v>1574</v>
      </c>
      <c r="J58" s="96"/>
    </row>
    <row r="59" spans="1:14" ht="15.75" customHeight="1" thickTop="1" x14ac:dyDescent="0.25">
      <c r="A59" s="108"/>
      <c r="B59" s="1" t="s">
        <v>180</v>
      </c>
      <c r="C59" s="71">
        <v>4251158729992</v>
      </c>
      <c r="D59" s="117" t="s">
        <v>206</v>
      </c>
      <c r="E59" s="60" t="s">
        <v>228</v>
      </c>
      <c r="F59" s="1" t="s">
        <v>170</v>
      </c>
      <c r="G59" s="65">
        <f>551-5</f>
        <v>546</v>
      </c>
      <c r="H59" s="3">
        <v>49.9</v>
      </c>
      <c r="I59" s="95"/>
      <c r="J59" s="97">
        <f t="shared" si="3"/>
        <v>27245.399999999998</v>
      </c>
      <c r="L59" s="60"/>
      <c r="M59" s="1"/>
      <c r="N59" s="65"/>
    </row>
    <row r="60" spans="1:14" ht="15" customHeight="1" x14ac:dyDescent="0.25">
      <c r="A60" s="109"/>
      <c r="B60" s="1" t="s">
        <v>178</v>
      </c>
      <c r="C60" s="71">
        <v>4251158730004</v>
      </c>
      <c r="D60" s="118"/>
      <c r="E60" s="60" t="s">
        <v>224</v>
      </c>
      <c r="F60" s="1" t="s">
        <v>170</v>
      </c>
      <c r="G60" s="65">
        <f>238-5</f>
        <v>233</v>
      </c>
      <c r="H60" s="3">
        <v>49.9</v>
      </c>
      <c r="I60" s="95"/>
      <c r="J60" s="97">
        <f t="shared" si="3"/>
        <v>11626.699999999999</v>
      </c>
      <c r="L60" s="60"/>
      <c r="M60" s="1"/>
      <c r="N60" s="65"/>
    </row>
    <row r="61" spans="1:14" ht="15" customHeight="1" x14ac:dyDescent="0.25">
      <c r="A61" s="109"/>
      <c r="B61" s="1" t="s">
        <v>177</v>
      </c>
      <c r="C61" s="71">
        <v>4251158730011</v>
      </c>
      <c r="D61" s="115" t="s">
        <v>216</v>
      </c>
      <c r="E61" s="60" t="s">
        <v>229</v>
      </c>
      <c r="F61" s="1" t="s">
        <v>170</v>
      </c>
      <c r="G61" s="65">
        <f>59-25</f>
        <v>34</v>
      </c>
      <c r="H61" s="3">
        <v>49.9</v>
      </c>
      <c r="I61" s="95"/>
      <c r="J61" s="97">
        <f t="shared" si="3"/>
        <v>1696.6</v>
      </c>
      <c r="L61" s="60"/>
      <c r="M61" s="1"/>
      <c r="N61" s="65"/>
    </row>
    <row r="62" spans="1:14" ht="15" customHeight="1" x14ac:dyDescent="0.25">
      <c r="A62" s="109"/>
      <c r="B62" s="1" t="s">
        <v>176</v>
      </c>
      <c r="C62" s="71">
        <v>4251158730028</v>
      </c>
      <c r="D62" s="115"/>
      <c r="E62" s="60" t="s">
        <v>225</v>
      </c>
      <c r="F62" s="1" t="s">
        <v>170</v>
      </c>
      <c r="G62" s="65">
        <f>80-25</f>
        <v>55</v>
      </c>
      <c r="H62" s="3">
        <v>49.9</v>
      </c>
      <c r="I62" s="95"/>
      <c r="J62" s="97">
        <f t="shared" si="3"/>
        <v>2744.5</v>
      </c>
      <c r="L62" s="60"/>
      <c r="M62" s="1"/>
      <c r="N62" s="65"/>
    </row>
    <row r="63" spans="1:14" ht="15" customHeight="1" x14ac:dyDescent="0.25">
      <c r="A63" s="109"/>
      <c r="B63" s="1" t="s">
        <v>179</v>
      </c>
      <c r="C63" s="71">
        <v>4251158730035</v>
      </c>
      <c r="D63" s="115" t="s">
        <v>211</v>
      </c>
      <c r="E63" s="60" t="s">
        <v>230</v>
      </c>
      <c r="F63" s="1" t="s">
        <v>170</v>
      </c>
      <c r="G63" s="65">
        <f>115-30</f>
        <v>85</v>
      </c>
      <c r="H63" s="3">
        <v>49.9</v>
      </c>
      <c r="I63" s="95"/>
      <c r="J63" s="97">
        <f t="shared" si="3"/>
        <v>4241.5</v>
      </c>
      <c r="L63" s="60"/>
      <c r="M63" s="1"/>
      <c r="N63" s="65"/>
    </row>
    <row r="64" spans="1:14" ht="15" customHeight="1" x14ac:dyDescent="0.25">
      <c r="A64" s="109"/>
      <c r="B64" s="75" t="s">
        <v>181</v>
      </c>
      <c r="C64" s="21">
        <v>4251158730042</v>
      </c>
      <c r="D64" s="115"/>
      <c r="E64" s="60" t="s">
        <v>226</v>
      </c>
      <c r="F64" s="1" t="s">
        <v>170</v>
      </c>
      <c r="G64" s="65">
        <f>163-20</f>
        <v>143</v>
      </c>
      <c r="H64" s="3">
        <v>49.9</v>
      </c>
      <c r="I64" s="95"/>
      <c r="J64" s="97">
        <f t="shared" si="3"/>
        <v>7135.7</v>
      </c>
    </row>
    <row r="65" spans="1:14" ht="15" customHeight="1" x14ac:dyDescent="0.25">
      <c r="A65" s="110"/>
      <c r="B65" s="75" t="s">
        <v>182</v>
      </c>
      <c r="C65" s="21">
        <v>4251158730059</v>
      </c>
      <c r="D65" s="116"/>
      <c r="E65" s="63" t="s">
        <v>227</v>
      </c>
      <c r="F65" s="1" t="s">
        <v>170</v>
      </c>
      <c r="G65" s="65">
        <f>125-15</f>
        <v>110</v>
      </c>
      <c r="H65" s="3">
        <v>49.9</v>
      </c>
      <c r="I65" s="95"/>
      <c r="J65" s="97">
        <f t="shared" si="3"/>
        <v>5489</v>
      </c>
    </row>
    <row r="66" spans="1:14" ht="15.75" thickBot="1" x14ac:dyDescent="0.3">
      <c r="A66" s="38" t="s">
        <v>204</v>
      </c>
      <c r="B66" s="39"/>
      <c r="C66" s="40"/>
      <c r="D66" s="41"/>
      <c r="E66" s="61"/>
      <c r="F66" s="42"/>
      <c r="G66" s="67">
        <f>SUM(G59:G65)</f>
        <v>1206</v>
      </c>
      <c r="H66" s="43"/>
      <c r="I66" s="95">
        <f>G66</f>
        <v>1206</v>
      </c>
      <c r="J66" s="96"/>
    </row>
    <row r="67" spans="1:14" ht="15.75" customHeight="1" thickTop="1" x14ac:dyDescent="0.25">
      <c r="A67" s="108"/>
      <c r="B67" s="75" t="s">
        <v>35</v>
      </c>
      <c r="C67" s="21">
        <v>4251158729718</v>
      </c>
      <c r="D67" s="117" t="s">
        <v>206</v>
      </c>
      <c r="E67" s="60" t="s">
        <v>228</v>
      </c>
      <c r="F67" s="1" t="s">
        <v>36</v>
      </c>
      <c r="G67" s="65">
        <f>577-5</f>
        <v>572</v>
      </c>
      <c r="H67" s="3">
        <v>49.9</v>
      </c>
      <c r="I67" s="95"/>
      <c r="J67" s="97">
        <f t="shared" si="3"/>
        <v>28542.799999999999</v>
      </c>
    </row>
    <row r="68" spans="1:14" x14ac:dyDescent="0.25">
      <c r="A68" s="109"/>
      <c r="B68" s="75" t="s">
        <v>37</v>
      </c>
      <c r="C68" s="21">
        <v>4251158729725</v>
      </c>
      <c r="D68" s="118"/>
      <c r="E68" s="60" t="s">
        <v>224</v>
      </c>
      <c r="F68" s="1" t="s">
        <v>36</v>
      </c>
      <c r="G68" s="65">
        <f>275-4</f>
        <v>271</v>
      </c>
      <c r="H68" s="3">
        <v>49.9</v>
      </c>
      <c r="I68" s="95"/>
      <c r="J68" s="97">
        <f t="shared" si="3"/>
        <v>13522.9</v>
      </c>
    </row>
    <row r="69" spans="1:14" x14ac:dyDescent="0.25">
      <c r="A69" s="109"/>
      <c r="B69" s="75" t="s">
        <v>38</v>
      </c>
      <c r="C69" s="21">
        <v>4251158729732</v>
      </c>
      <c r="D69" s="115" t="s">
        <v>215</v>
      </c>
      <c r="E69" s="60" t="s">
        <v>229</v>
      </c>
      <c r="F69" s="1" t="s">
        <v>36</v>
      </c>
      <c r="G69" s="65">
        <f>40-40</f>
        <v>0</v>
      </c>
      <c r="H69" s="3">
        <v>49.9</v>
      </c>
      <c r="I69" s="95"/>
      <c r="J69" s="97">
        <f t="shared" si="3"/>
        <v>0</v>
      </c>
    </row>
    <row r="70" spans="1:14" x14ac:dyDescent="0.25">
      <c r="A70" s="109"/>
      <c r="B70" s="75" t="s">
        <v>39</v>
      </c>
      <c r="C70" s="21">
        <v>4251158729749</v>
      </c>
      <c r="D70" s="115"/>
      <c r="E70" s="60" t="s">
        <v>225</v>
      </c>
      <c r="F70" s="1" t="s">
        <v>36</v>
      </c>
      <c r="G70" s="65">
        <f>34-34</f>
        <v>0</v>
      </c>
      <c r="H70" s="3">
        <v>49.9</v>
      </c>
      <c r="I70" s="95"/>
      <c r="J70" s="97">
        <f t="shared" si="3"/>
        <v>0</v>
      </c>
    </row>
    <row r="71" spans="1:14" x14ac:dyDescent="0.25">
      <c r="A71" s="109"/>
      <c r="B71" s="75" t="s">
        <v>40</v>
      </c>
      <c r="C71" s="21">
        <v>4251158729756</v>
      </c>
      <c r="D71" s="115" t="s">
        <v>212</v>
      </c>
      <c r="E71" s="60" t="s">
        <v>230</v>
      </c>
      <c r="F71" s="1" t="s">
        <v>36</v>
      </c>
      <c r="G71" s="65">
        <f>24-24</f>
        <v>0</v>
      </c>
      <c r="H71" s="3">
        <v>49.9</v>
      </c>
      <c r="I71" s="95"/>
      <c r="J71" s="97">
        <f t="shared" si="3"/>
        <v>0</v>
      </c>
    </row>
    <row r="72" spans="1:14" x14ac:dyDescent="0.25">
      <c r="A72" s="109"/>
      <c r="B72" s="75" t="s">
        <v>41</v>
      </c>
      <c r="C72" s="21">
        <v>4251158729763</v>
      </c>
      <c r="D72" s="115"/>
      <c r="E72" s="60" t="s">
        <v>226</v>
      </c>
      <c r="F72" s="1" t="s">
        <v>36</v>
      </c>
      <c r="G72" s="65">
        <f>141-20</f>
        <v>121</v>
      </c>
      <c r="H72" s="3">
        <v>49.9</v>
      </c>
      <c r="I72" s="95"/>
      <c r="J72" s="97">
        <f t="shared" si="3"/>
        <v>6037.9</v>
      </c>
    </row>
    <row r="73" spans="1:14" ht="15.75" customHeight="1" x14ac:dyDescent="0.25">
      <c r="A73" s="110"/>
      <c r="B73" s="76" t="s">
        <v>42</v>
      </c>
      <c r="C73" s="22">
        <v>4251158729770</v>
      </c>
      <c r="D73" s="116"/>
      <c r="E73" s="63" t="s">
        <v>227</v>
      </c>
      <c r="F73" s="4" t="s">
        <v>36</v>
      </c>
      <c r="G73" s="66">
        <f>141-20-1</f>
        <v>120</v>
      </c>
      <c r="H73" s="5">
        <v>49.9</v>
      </c>
      <c r="I73" s="95"/>
      <c r="J73" s="97">
        <f t="shared" si="3"/>
        <v>5988</v>
      </c>
    </row>
    <row r="74" spans="1:14" ht="15.75" thickBot="1" x14ac:dyDescent="0.3">
      <c r="A74" s="38" t="s">
        <v>204</v>
      </c>
      <c r="B74" s="39"/>
      <c r="C74" s="40"/>
      <c r="D74" s="41"/>
      <c r="E74" s="61"/>
      <c r="F74" s="42"/>
      <c r="G74" s="67">
        <f>SUM(G67:G73)</f>
        <v>1084</v>
      </c>
      <c r="H74" s="43"/>
      <c r="I74" s="95">
        <f>G74</f>
        <v>1084</v>
      </c>
      <c r="J74" s="96"/>
    </row>
    <row r="75" spans="1:14" ht="15.75" customHeight="1" thickTop="1" x14ac:dyDescent="0.25">
      <c r="A75" s="108"/>
      <c r="B75" s="1" t="s">
        <v>124</v>
      </c>
      <c r="C75" s="71">
        <v>4251158729503</v>
      </c>
      <c r="D75" s="117" t="s">
        <v>210</v>
      </c>
      <c r="E75" s="60" t="s">
        <v>228</v>
      </c>
      <c r="F75" s="6"/>
      <c r="G75" s="68">
        <f>316-1</f>
        <v>315</v>
      </c>
      <c r="H75" s="7">
        <v>39.9</v>
      </c>
      <c r="I75" s="95"/>
      <c r="J75" s="97">
        <f t="shared" si="3"/>
        <v>12568.5</v>
      </c>
      <c r="L75" s="60"/>
      <c r="M75" s="1"/>
      <c r="N75" s="65"/>
    </row>
    <row r="76" spans="1:14" ht="15" customHeight="1" x14ac:dyDescent="0.25">
      <c r="A76" s="109"/>
      <c r="B76" s="1" t="s">
        <v>122</v>
      </c>
      <c r="C76" s="71">
        <v>4251158729510</v>
      </c>
      <c r="D76" s="118"/>
      <c r="E76" s="60" t="s">
        <v>224</v>
      </c>
      <c r="G76" s="65">
        <v>138</v>
      </c>
      <c r="H76" s="3">
        <v>39.9</v>
      </c>
      <c r="I76" s="95"/>
      <c r="J76" s="97">
        <f t="shared" si="3"/>
        <v>5506.2</v>
      </c>
      <c r="L76" s="60"/>
      <c r="M76" s="1"/>
      <c r="N76" s="65"/>
    </row>
    <row r="77" spans="1:14" ht="15" customHeight="1" x14ac:dyDescent="0.25">
      <c r="A77" s="109"/>
      <c r="B77" s="1" t="s">
        <v>121</v>
      </c>
      <c r="C77" s="71">
        <v>4251158729527</v>
      </c>
      <c r="D77" s="115" t="s">
        <v>215</v>
      </c>
      <c r="E77" s="60" t="s">
        <v>229</v>
      </c>
      <c r="G77" s="65">
        <v>34</v>
      </c>
      <c r="H77" s="3">
        <v>39.9</v>
      </c>
      <c r="I77" s="95"/>
      <c r="J77" s="97">
        <f t="shared" si="3"/>
        <v>1356.6</v>
      </c>
      <c r="L77" s="60"/>
      <c r="M77" s="1"/>
      <c r="N77" s="65"/>
    </row>
    <row r="78" spans="1:14" ht="15" customHeight="1" x14ac:dyDescent="0.25">
      <c r="A78" s="109"/>
      <c r="B78" s="1" t="s">
        <v>120</v>
      </c>
      <c r="C78" s="71">
        <v>4251158729534</v>
      </c>
      <c r="D78" s="115"/>
      <c r="E78" s="60" t="s">
        <v>225</v>
      </c>
      <c r="G78" s="65">
        <v>17</v>
      </c>
      <c r="H78" s="3">
        <v>39.9</v>
      </c>
      <c r="I78" s="95"/>
      <c r="J78" s="97">
        <f t="shared" si="3"/>
        <v>678.3</v>
      </c>
      <c r="L78" s="60"/>
      <c r="M78" s="1"/>
      <c r="N78" s="65"/>
    </row>
    <row r="79" spans="1:14" ht="15" customHeight="1" x14ac:dyDescent="0.25">
      <c r="A79" s="109"/>
      <c r="B79" s="1" t="s">
        <v>123</v>
      </c>
      <c r="C79" s="71">
        <v>4251158729541</v>
      </c>
      <c r="D79" s="115" t="s">
        <v>212</v>
      </c>
      <c r="E79" s="60" t="s">
        <v>230</v>
      </c>
      <c r="G79" s="65">
        <v>21</v>
      </c>
      <c r="H79" s="3">
        <v>39.9</v>
      </c>
      <c r="I79" s="95"/>
      <c r="J79" s="97">
        <f t="shared" si="3"/>
        <v>837.9</v>
      </c>
      <c r="L79" s="60"/>
      <c r="M79" s="1"/>
      <c r="N79" s="65"/>
    </row>
    <row r="80" spans="1:14" ht="15" customHeight="1" x14ac:dyDescent="0.25">
      <c r="A80" s="109"/>
      <c r="B80" s="75" t="s">
        <v>125</v>
      </c>
      <c r="C80" s="21">
        <v>4251158729558</v>
      </c>
      <c r="D80" s="115"/>
      <c r="E80" s="60" t="s">
        <v>226</v>
      </c>
      <c r="F80" s="1" t="s">
        <v>77</v>
      </c>
      <c r="G80" s="65">
        <v>306</v>
      </c>
      <c r="H80" s="3">
        <v>39.9</v>
      </c>
      <c r="I80" s="95"/>
      <c r="J80" s="97">
        <f t="shared" si="3"/>
        <v>12209.4</v>
      </c>
    </row>
    <row r="81" spans="1:14" ht="15" customHeight="1" x14ac:dyDescent="0.25">
      <c r="A81" s="110"/>
      <c r="B81" s="76" t="s">
        <v>126</v>
      </c>
      <c r="C81" s="22">
        <v>4251158729565</v>
      </c>
      <c r="D81" s="116"/>
      <c r="E81" s="63" t="s">
        <v>227</v>
      </c>
      <c r="F81" s="4" t="s">
        <v>77</v>
      </c>
      <c r="G81" s="66">
        <f>312-1</f>
        <v>311</v>
      </c>
      <c r="H81" s="5">
        <v>39.9</v>
      </c>
      <c r="I81" s="95"/>
      <c r="J81" s="97">
        <f t="shared" si="3"/>
        <v>12408.9</v>
      </c>
    </row>
    <row r="82" spans="1:14" ht="15.75" thickBot="1" x14ac:dyDescent="0.3">
      <c r="A82" s="38" t="s">
        <v>204</v>
      </c>
      <c r="B82" s="39"/>
      <c r="C82" s="40"/>
      <c r="D82" s="41"/>
      <c r="E82" s="61"/>
      <c r="F82" s="42"/>
      <c r="G82" s="67">
        <f>SUM(G75:G81)</f>
        <v>1142</v>
      </c>
      <c r="H82" s="43"/>
      <c r="I82" s="95">
        <f>G82</f>
        <v>1142</v>
      </c>
      <c r="J82" s="96"/>
    </row>
    <row r="83" spans="1:14" ht="15.75" thickTop="1" x14ac:dyDescent="0.25">
      <c r="A83" s="108"/>
      <c r="B83" s="75" t="s">
        <v>50</v>
      </c>
      <c r="C83" s="21">
        <v>4251158729435</v>
      </c>
      <c r="D83" s="49" t="s">
        <v>210</v>
      </c>
      <c r="E83" s="60" t="s">
        <v>228</v>
      </c>
      <c r="F83" s="1" t="s">
        <v>36</v>
      </c>
      <c r="G83" s="65">
        <f>615-5-1</f>
        <v>609</v>
      </c>
      <c r="H83" s="3">
        <v>39.9</v>
      </c>
      <c r="I83" s="95"/>
      <c r="J83" s="97">
        <f t="shared" si="3"/>
        <v>24299.1</v>
      </c>
    </row>
    <row r="84" spans="1:14" ht="15" customHeight="1" x14ac:dyDescent="0.25">
      <c r="A84" s="109"/>
      <c r="B84" s="75" t="s">
        <v>51</v>
      </c>
      <c r="C84" s="21">
        <v>4251158729442</v>
      </c>
      <c r="D84" s="115" t="s">
        <v>215</v>
      </c>
      <c r="E84" s="60" t="s">
        <v>224</v>
      </c>
      <c r="F84" s="1" t="s">
        <v>36</v>
      </c>
      <c r="G84" s="65">
        <f>162-10</f>
        <v>152</v>
      </c>
      <c r="H84" s="3">
        <v>39.9</v>
      </c>
      <c r="I84" s="95"/>
      <c r="J84" s="97">
        <f t="shared" si="3"/>
        <v>6064.8</v>
      </c>
    </row>
    <row r="85" spans="1:14" x14ac:dyDescent="0.25">
      <c r="A85" s="109"/>
      <c r="B85" s="75" t="s">
        <v>52</v>
      </c>
      <c r="C85" s="21">
        <v>4251158729473</v>
      </c>
      <c r="D85" s="115"/>
      <c r="E85" s="60" t="s">
        <v>230</v>
      </c>
      <c r="F85" s="1" t="s">
        <v>36</v>
      </c>
      <c r="G85" s="65">
        <f>1-1</f>
        <v>0</v>
      </c>
      <c r="H85" s="3">
        <v>39.9</v>
      </c>
      <c r="I85" s="95"/>
      <c r="J85" s="97">
        <f t="shared" si="3"/>
        <v>0</v>
      </c>
    </row>
    <row r="86" spans="1:14" x14ac:dyDescent="0.25">
      <c r="A86" s="109"/>
      <c r="B86" s="75" t="s">
        <v>53</v>
      </c>
      <c r="C86" s="21">
        <v>4251158729480</v>
      </c>
      <c r="D86" s="115" t="s">
        <v>207</v>
      </c>
      <c r="E86" s="60" t="s">
        <v>226</v>
      </c>
      <c r="F86" s="1" t="s">
        <v>36</v>
      </c>
      <c r="G86" s="65">
        <f>94-25</f>
        <v>69</v>
      </c>
      <c r="H86" s="3">
        <v>39.9</v>
      </c>
      <c r="I86" s="95"/>
      <c r="J86" s="97">
        <f t="shared" si="3"/>
        <v>2753.1</v>
      </c>
    </row>
    <row r="87" spans="1:14" x14ac:dyDescent="0.25">
      <c r="A87" s="110"/>
      <c r="B87" s="76" t="s">
        <v>54</v>
      </c>
      <c r="C87" s="22">
        <v>4251158729497</v>
      </c>
      <c r="D87" s="116"/>
      <c r="E87" s="63" t="s">
        <v>227</v>
      </c>
      <c r="F87" s="4" t="s">
        <v>36</v>
      </c>
      <c r="G87" s="66">
        <f>133-20</f>
        <v>113</v>
      </c>
      <c r="H87" s="5">
        <v>39.9</v>
      </c>
      <c r="I87" s="95"/>
      <c r="J87" s="97">
        <f t="shared" si="3"/>
        <v>4508.7</v>
      </c>
    </row>
    <row r="88" spans="1:14" ht="15.75" thickBot="1" x14ac:dyDescent="0.3">
      <c r="A88" s="38" t="s">
        <v>204</v>
      </c>
      <c r="B88" s="39"/>
      <c r="C88" s="40"/>
      <c r="D88" s="41"/>
      <c r="E88" s="61"/>
      <c r="F88" s="42"/>
      <c r="G88" s="67">
        <f>SUM(G83:G87)</f>
        <v>943</v>
      </c>
      <c r="H88" s="43"/>
      <c r="I88" s="95">
        <f>G88</f>
        <v>943</v>
      </c>
      <c r="J88" s="96"/>
    </row>
    <row r="89" spans="1:14" ht="15.75" customHeight="1" thickTop="1" x14ac:dyDescent="0.25">
      <c r="A89" s="108"/>
      <c r="B89" s="1" t="s">
        <v>101</v>
      </c>
      <c r="C89" s="71">
        <v>4251158714509</v>
      </c>
      <c r="D89" s="117" t="s">
        <v>206</v>
      </c>
      <c r="E89" s="60" t="s">
        <v>228</v>
      </c>
      <c r="F89" s="1" t="s">
        <v>77</v>
      </c>
      <c r="G89" s="65">
        <f>62-5</f>
        <v>57</v>
      </c>
      <c r="H89" s="3">
        <v>49.9</v>
      </c>
      <c r="I89" s="95"/>
      <c r="J89" s="97">
        <f t="shared" si="3"/>
        <v>2844.2999999999997</v>
      </c>
      <c r="L89" s="60"/>
      <c r="M89" s="1"/>
      <c r="N89" s="65"/>
    </row>
    <row r="90" spans="1:14" ht="15" customHeight="1" x14ac:dyDescent="0.25">
      <c r="A90" s="109"/>
      <c r="B90" s="1" t="s">
        <v>99</v>
      </c>
      <c r="C90" s="71">
        <v>4251158710570</v>
      </c>
      <c r="D90" s="118"/>
      <c r="E90" s="60" t="s">
        <v>224</v>
      </c>
      <c r="F90" s="1" t="s">
        <v>77</v>
      </c>
      <c r="G90" s="65">
        <f>45-45</f>
        <v>0</v>
      </c>
      <c r="H90" s="3">
        <v>49.9</v>
      </c>
      <c r="I90" s="95"/>
      <c r="J90" s="97">
        <f t="shared" si="3"/>
        <v>0</v>
      </c>
      <c r="L90" s="60"/>
      <c r="M90" s="1"/>
      <c r="N90" s="65"/>
    </row>
    <row r="91" spans="1:14" ht="15" customHeight="1" x14ac:dyDescent="0.25">
      <c r="A91" s="109"/>
      <c r="B91" s="1" t="s">
        <v>98</v>
      </c>
      <c r="C91" s="71">
        <v>4251158710587</v>
      </c>
      <c r="D91" s="115" t="s">
        <v>215</v>
      </c>
      <c r="E91" s="60" t="s">
        <v>229</v>
      </c>
      <c r="F91" s="1" t="s">
        <v>77</v>
      </c>
      <c r="G91" s="65">
        <f>9-9</f>
        <v>0</v>
      </c>
      <c r="H91" s="3">
        <v>49.9</v>
      </c>
      <c r="I91" s="95"/>
      <c r="J91" s="97">
        <f t="shared" si="3"/>
        <v>0</v>
      </c>
      <c r="L91" s="60"/>
      <c r="M91" s="1"/>
      <c r="N91" s="65"/>
    </row>
    <row r="92" spans="1:14" ht="15" customHeight="1" x14ac:dyDescent="0.25">
      <c r="A92" s="109"/>
      <c r="B92" s="1" t="s">
        <v>97</v>
      </c>
      <c r="C92" s="71">
        <v>4251158710594</v>
      </c>
      <c r="D92" s="115"/>
      <c r="E92" s="60" t="s">
        <v>225</v>
      </c>
      <c r="F92" s="1" t="s">
        <v>77</v>
      </c>
      <c r="G92" s="65">
        <f>26-26</f>
        <v>0</v>
      </c>
      <c r="H92" s="3">
        <v>49.9</v>
      </c>
      <c r="I92" s="95"/>
      <c r="J92" s="97">
        <f t="shared" si="3"/>
        <v>0</v>
      </c>
      <c r="L92" s="60"/>
      <c r="M92" s="1"/>
      <c r="N92" s="65"/>
    </row>
    <row r="93" spans="1:14" ht="15" customHeight="1" x14ac:dyDescent="0.25">
      <c r="A93" s="109"/>
      <c r="B93" s="1" t="s">
        <v>100</v>
      </c>
      <c r="C93" s="71">
        <v>4251158710600</v>
      </c>
      <c r="D93" s="115" t="s">
        <v>213</v>
      </c>
      <c r="E93" s="60" t="s">
        <v>230</v>
      </c>
      <c r="F93" s="1" t="s">
        <v>77</v>
      </c>
      <c r="G93" s="65">
        <f>164-25</f>
        <v>139</v>
      </c>
      <c r="H93" s="3">
        <v>49.9</v>
      </c>
      <c r="I93" s="95"/>
      <c r="J93" s="97">
        <f t="shared" si="3"/>
        <v>6936.0999999999995</v>
      </c>
      <c r="L93" s="60"/>
      <c r="M93" s="1"/>
      <c r="N93" s="65"/>
    </row>
    <row r="94" spans="1:14" ht="15" customHeight="1" x14ac:dyDescent="0.25">
      <c r="A94" s="109"/>
      <c r="B94" s="75" t="s">
        <v>102</v>
      </c>
      <c r="C94" s="21">
        <v>4251158710617</v>
      </c>
      <c r="D94" s="115"/>
      <c r="E94" s="60" t="s">
        <v>226</v>
      </c>
      <c r="F94" s="1" t="s">
        <v>77</v>
      </c>
      <c r="G94" s="65">
        <f>412-20-1</f>
        <v>391</v>
      </c>
      <c r="H94" s="3">
        <v>49.9</v>
      </c>
      <c r="I94" s="95"/>
      <c r="J94" s="97">
        <f t="shared" si="3"/>
        <v>19510.899999999998</v>
      </c>
    </row>
    <row r="95" spans="1:14" ht="16.5" customHeight="1" x14ac:dyDescent="0.25">
      <c r="A95" s="110"/>
      <c r="B95" s="75" t="s">
        <v>103</v>
      </c>
      <c r="C95" s="21">
        <v>4251158715032</v>
      </c>
      <c r="D95" s="116"/>
      <c r="E95" s="63" t="s">
        <v>227</v>
      </c>
      <c r="F95" s="1" t="s">
        <v>77</v>
      </c>
      <c r="G95" s="65">
        <f>261-15</f>
        <v>246</v>
      </c>
      <c r="H95" s="3">
        <v>49.9</v>
      </c>
      <c r="I95" s="95"/>
      <c r="J95" s="97">
        <f t="shared" si="3"/>
        <v>12275.4</v>
      </c>
    </row>
    <row r="96" spans="1:14" ht="16.5" customHeight="1" thickBot="1" x14ac:dyDescent="0.3">
      <c r="A96" s="38" t="s">
        <v>204</v>
      </c>
      <c r="B96" s="39"/>
      <c r="C96" s="40"/>
      <c r="D96" s="41"/>
      <c r="E96" s="61"/>
      <c r="F96" s="42"/>
      <c r="G96" s="67">
        <f>SUM(G89:G95)</f>
        <v>833</v>
      </c>
      <c r="H96" s="43"/>
      <c r="I96" s="95">
        <f>G96</f>
        <v>833</v>
      </c>
      <c r="J96" s="96"/>
    </row>
    <row r="97" spans="1:14" ht="16.5" customHeight="1" thickTop="1" x14ac:dyDescent="0.25">
      <c r="A97" s="124"/>
      <c r="B97" s="77" t="s">
        <v>69</v>
      </c>
      <c r="C97" s="20">
        <v>4251158715698</v>
      </c>
      <c r="D97" s="117" t="s">
        <v>210</v>
      </c>
      <c r="E97" s="60" t="s">
        <v>228</v>
      </c>
      <c r="F97" s="6" t="s">
        <v>36</v>
      </c>
      <c r="G97" s="68">
        <v>361</v>
      </c>
      <c r="H97" s="7">
        <v>39.9</v>
      </c>
      <c r="I97" s="95"/>
      <c r="J97" s="97">
        <f t="shared" si="3"/>
        <v>14403.9</v>
      </c>
    </row>
    <row r="98" spans="1:14" x14ac:dyDescent="0.25">
      <c r="A98" s="125"/>
      <c r="B98" s="78" t="s">
        <v>70</v>
      </c>
      <c r="C98" s="21">
        <v>4251158715704</v>
      </c>
      <c r="D98" s="118"/>
      <c r="E98" s="60" t="s">
        <v>224</v>
      </c>
      <c r="F98" s="1" t="s">
        <v>36</v>
      </c>
      <c r="G98" s="65">
        <v>111</v>
      </c>
      <c r="H98" s="3">
        <v>39.9</v>
      </c>
      <c r="I98" s="95"/>
      <c r="J98" s="97">
        <f t="shared" si="3"/>
        <v>4428.8999999999996</v>
      </c>
    </row>
    <row r="99" spans="1:14" x14ac:dyDescent="0.25">
      <c r="A99" s="125"/>
      <c r="B99" s="78" t="s">
        <v>71</v>
      </c>
      <c r="C99" s="21">
        <v>4251158715711</v>
      </c>
      <c r="D99" s="115" t="s">
        <v>215</v>
      </c>
      <c r="E99" s="60" t="s">
        <v>229</v>
      </c>
      <c r="F99" s="1" t="s">
        <v>36</v>
      </c>
      <c r="G99" s="65">
        <v>24</v>
      </c>
      <c r="H99" s="3">
        <v>39.9</v>
      </c>
      <c r="I99" s="95"/>
      <c r="J99" s="97">
        <f t="shared" si="3"/>
        <v>957.59999999999991</v>
      </c>
    </row>
    <row r="100" spans="1:14" x14ac:dyDescent="0.25">
      <c r="A100" s="125"/>
      <c r="B100" s="78" t="s">
        <v>72</v>
      </c>
      <c r="C100" s="21">
        <v>4251158715728</v>
      </c>
      <c r="D100" s="115"/>
      <c r="E100" s="60" t="s">
        <v>225</v>
      </c>
      <c r="F100" s="1" t="s">
        <v>36</v>
      </c>
      <c r="G100" s="65">
        <v>13</v>
      </c>
      <c r="H100" s="3">
        <v>39.9</v>
      </c>
      <c r="I100" s="95"/>
      <c r="J100" s="97">
        <f t="shared" si="3"/>
        <v>518.69999999999993</v>
      </c>
    </row>
    <row r="101" spans="1:14" x14ac:dyDescent="0.25">
      <c r="A101" s="125"/>
      <c r="B101" s="78" t="s">
        <v>73</v>
      </c>
      <c r="C101" s="21">
        <v>4251158715735</v>
      </c>
      <c r="D101" s="115" t="s">
        <v>209</v>
      </c>
      <c r="E101" s="60" t="s">
        <v>230</v>
      </c>
      <c r="F101" s="1" t="s">
        <v>36</v>
      </c>
      <c r="G101" s="65">
        <v>3</v>
      </c>
      <c r="H101" s="3">
        <v>39.9</v>
      </c>
      <c r="I101" s="95"/>
      <c r="J101" s="97">
        <f t="shared" si="3"/>
        <v>119.69999999999999</v>
      </c>
    </row>
    <row r="102" spans="1:14" x14ac:dyDescent="0.25">
      <c r="A102" s="125"/>
      <c r="B102" s="78" t="s">
        <v>74</v>
      </c>
      <c r="C102" s="21">
        <v>4251158715742</v>
      </c>
      <c r="D102" s="115"/>
      <c r="E102" s="60" t="s">
        <v>226</v>
      </c>
      <c r="F102" s="1" t="s">
        <v>36</v>
      </c>
      <c r="G102" s="65">
        <v>123</v>
      </c>
      <c r="H102" s="3">
        <v>39.9</v>
      </c>
      <c r="I102" s="95"/>
      <c r="J102" s="97">
        <f t="shared" si="3"/>
        <v>4907.7</v>
      </c>
    </row>
    <row r="103" spans="1:14" ht="17.25" customHeight="1" x14ac:dyDescent="0.25">
      <c r="A103" s="126"/>
      <c r="B103" s="78" t="s">
        <v>75</v>
      </c>
      <c r="C103" s="21">
        <v>4251158715759</v>
      </c>
      <c r="D103" s="116"/>
      <c r="E103" s="63" t="s">
        <v>227</v>
      </c>
      <c r="F103" s="1" t="s">
        <v>36</v>
      </c>
      <c r="G103" s="65">
        <v>219</v>
      </c>
      <c r="H103" s="3">
        <v>39.9</v>
      </c>
      <c r="I103" s="95"/>
      <c r="J103" s="97">
        <f t="shared" si="3"/>
        <v>8738.1</v>
      </c>
    </row>
    <row r="104" spans="1:14" ht="16.5" customHeight="1" thickBot="1" x14ac:dyDescent="0.3">
      <c r="A104" s="38" t="s">
        <v>204</v>
      </c>
      <c r="B104" s="39"/>
      <c r="C104" s="40"/>
      <c r="D104" s="41"/>
      <c r="E104" s="61"/>
      <c r="F104" s="42"/>
      <c r="G104" s="67">
        <f>SUM(G97:G103)</f>
        <v>854</v>
      </c>
      <c r="H104" s="43"/>
      <c r="I104" s="95">
        <f>G104</f>
        <v>854</v>
      </c>
      <c r="J104" s="96"/>
    </row>
    <row r="105" spans="1:14" ht="16.5" customHeight="1" thickTop="1" x14ac:dyDescent="0.25">
      <c r="A105" s="108"/>
      <c r="B105" s="1" t="s">
        <v>18</v>
      </c>
      <c r="C105" s="71">
        <v>4251158714325</v>
      </c>
      <c r="D105" s="117" t="s">
        <v>206</v>
      </c>
      <c r="E105" s="60" t="s">
        <v>228</v>
      </c>
      <c r="F105" s="6"/>
      <c r="G105" s="68">
        <f>43-5</f>
        <v>38</v>
      </c>
      <c r="H105" s="7">
        <v>49.9</v>
      </c>
      <c r="I105" s="95"/>
      <c r="J105" s="97">
        <f t="shared" si="3"/>
        <v>1896.2</v>
      </c>
      <c r="L105" s="60"/>
      <c r="M105" s="1"/>
      <c r="N105" s="65"/>
    </row>
    <row r="106" spans="1:14" ht="15" customHeight="1" x14ac:dyDescent="0.25">
      <c r="A106" s="109"/>
      <c r="B106" s="1" t="s">
        <v>16</v>
      </c>
      <c r="C106" s="71">
        <v>4251158711621</v>
      </c>
      <c r="D106" s="118"/>
      <c r="E106" s="60" t="s">
        <v>224</v>
      </c>
      <c r="G106" s="65">
        <f>29-4</f>
        <v>25</v>
      </c>
      <c r="H106" s="3">
        <v>49.9</v>
      </c>
      <c r="I106" s="95"/>
      <c r="J106" s="97">
        <f t="shared" si="3"/>
        <v>1247.5</v>
      </c>
      <c r="L106" s="60"/>
      <c r="M106" s="1"/>
      <c r="N106" s="65"/>
    </row>
    <row r="107" spans="1:14" ht="15" customHeight="1" x14ac:dyDescent="0.25">
      <c r="A107" s="109"/>
      <c r="B107" s="1" t="s">
        <v>15</v>
      </c>
      <c r="C107" s="71">
        <v>4251158711638</v>
      </c>
      <c r="D107" s="115" t="s">
        <v>214</v>
      </c>
      <c r="E107" s="60" t="s">
        <v>229</v>
      </c>
      <c r="G107" s="65">
        <f>23-23</f>
        <v>0</v>
      </c>
      <c r="H107" s="3">
        <v>49.9</v>
      </c>
      <c r="I107" s="95"/>
      <c r="J107" s="97">
        <f t="shared" si="3"/>
        <v>0</v>
      </c>
      <c r="L107" s="60"/>
      <c r="M107" s="1"/>
      <c r="N107" s="65"/>
    </row>
    <row r="108" spans="1:14" ht="15" customHeight="1" x14ac:dyDescent="0.25">
      <c r="A108" s="109"/>
      <c r="B108" s="1" t="s">
        <v>14</v>
      </c>
      <c r="C108" s="71">
        <v>4251158711645</v>
      </c>
      <c r="D108" s="115"/>
      <c r="E108" s="60" t="s">
        <v>225</v>
      </c>
      <c r="G108" s="65">
        <f>37-37</f>
        <v>0</v>
      </c>
      <c r="H108" s="3">
        <v>49.9</v>
      </c>
      <c r="I108" s="95"/>
      <c r="J108" s="97">
        <f t="shared" si="3"/>
        <v>0</v>
      </c>
      <c r="L108" s="60"/>
      <c r="M108" s="1"/>
      <c r="N108" s="65"/>
    </row>
    <row r="109" spans="1:14" ht="15" customHeight="1" x14ac:dyDescent="0.25">
      <c r="A109" s="109"/>
      <c r="B109" s="1" t="s">
        <v>17</v>
      </c>
      <c r="C109" s="71">
        <v>4251158711652</v>
      </c>
      <c r="D109" s="115" t="s">
        <v>218</v>
      </c>
      <c r="E109" s="60" t="s">
        <v>230</v>
      </c>
      <c r="G109" s="65">
        <f>104-25</f>
        <v>79</v>
      </c>
      <c r="H109" s="3">
        <v>49.9</v>
      </c>
      <c r="I109" s="95"/>
      <c r="J109" s="97">
        <f t="shared" si="3"/>
        <v>3942.1</v>
      </c>
      <c r="L109" s="60"/>
      <c r="M109" s="1"/>
      <c r="N109" s="65"/>
    </row>
    <row r="110" spans="1:14" ht="15" customHeight="1" x14ac:dyDescent="0.25">
      <c r="A110" s="109"/>
      <c r="B110" s="75" t="s">
        <v>19</v>
      </c>
      <c r="C110" s="21">
        <v>4251158711669</v>
      </c>
      <c r="D110" s="115"/>
      <c r="E110" s="60" t="s">
        <v>226</v>
      </c>
      <c r="F110" s="1" t="s">
        <v>7</v>
      </c>
      <c r="G110" s="65">
        <f>269-25</f>
        <v>244</v>
      </c>
      <c r="H110" s="3">
        <v>49.9</v>
      </c>
      <c r="I110" s="95"/>
      <c r="J110" s="97">
        <f t="shared" si="3"/>
        <v>12175.6</v>
      </c>
    </row>
    <row r="111" spans="1:14" ht="17.25" customHeight="1" x14ac:dyDescent="0.25">
      <c r="A111" s="110"/>
      <c r="B111" s="76" t="s">
        <v>20</v>
      </c>
      <c r="C111" s="22">
        <v>4251158714851</v>
      </c>
      <c r="D111" s="116"/>
      <c r="E111" s="63" t="s">
        <v>227</v>
      </c>
      <c r="F111" s="4" t="s">
        <v>7</v>
      </c>
      <c r="G111" s="66">
        <f>283-15</f>
        <v>268</v>
      </c>
      <c r="H111" s="5">
        <v>49.9</v>
      </c>
      <c r="I111" s="95"/>
      <c r="J111" s="97">
        <f t="shared" si="3"/>
        <v>13373.199999999999</v>
      </c>
    </row>
    <row r="112" spans="1:14" ht="16.5" customHeight="1" thickBot="1" x14ac:dyDescent="0.3">
      <c r="A112" s="38" t="s">
        <v>204</v>
      </c>
      <c r="B112" s="39"/>
      <c r="C112" s="40"/>
      <c r="D112" s="41"/>
      <c r="E112" s="61"/>
      <c r="F112" s="42"/>
      <c r="G112" s="67">
        <f>SUM(G105:G111)</f>
        <v>654</v>
      </c>
      <c r="H112" s="43"/>
      <c r="I112" s="95">
        <f>G112</f>
        <v>654</v>
      </c>
      <c r="J112" s="96"/>
    </row>
    <row r="113" spans="1:14" ht="17.25" customHeight="1" thickTop="1" x14ac:dyDescent="0.25">
      <c r="A113" s="108"/>
      <c r="B113" s="1" t="s">
        <v>25</v>
      </c>
      <c r="C113" s="71">
        <v>4251158730417</v>
      </c>
      <c r="D113" s="117" t="s">
        <v>206</v>
      </c>
      <c r="E113" s="60" t="s">
        <v>228</v>
      </c>
      <c r="G113" s="65">
        <v>372</v>
      </c>
      <c r="H113" s="3">
        <v>49.9</v>
      </c>
      <c r="I113" s="95"/>
      <c r="J113" s="97">
        <f t="shared" si="3"/>
        <v>18562.8</v>
      </c>
      <c r="L113" s="60"/>
      <c r="M113" s="1"/>
      <c r="N113" s="65"/>
    </row>
    <row r="114" spans="1:14" ht="15" customHeight="1" x14ac:dyDescent="0.25">
      <c r="A114" s="109"/>
      <c r="B114" s="1" t="s">
        <v>23</v>
      </c>
      <c r="C114" s="71">
        <v>4251158730424</v>
      </c>
      <c r="D114" s="118"/>
      <c r="E114" s="60" t="s">
        <v>224</v>
      </c>
      <c r="G114" s="65">
        <f>125-1</f>
        <v>124</v>
      </c>
      <c r="H114" s="3">
        <v>49.9</v>
      </c>
      <c r="I114" s="95"/>
      <c r="J114" s="97">
        <f t="shared" si="3"/>
        <v>6187.5999999999995</v>
      </c>
      <c r="L114" s="60"/>
      <c r="M114" s="1"/>
      <c r="N114" s="65"/>
    </row>
    <row r="115" spans="1:14" ht="15" customHeight="1" x14ac:dyDescent="0.25">
      <c r="A115" s="109"/>
      <c r="B115" s="1" t="s">
        <v>22</v>
      </c>
      <c r="C115" s="71">
        <v>4251158730431</v>
      </c>
      <c r="D115" s="115" t="s">
        <v>214</v>
      </c>
      <c r="E115" s="60" t="s">
        <v>229</v>
      </c>
      <c r="G115" s="65">
        <f>10-10</f>
        <v>0</v>
      </c>
      <c r="H115" s="3">
        <v>49.9</v>
      </c>
      <c r="I115" s="95"/>
      <c r="J115" s="97">
        <f t="shared" si="3"/>
        <v>0</v>
      </c>
      <c r="L115" s="60"/>
      <c r="M115" s="1"/>
      <c r="N115" s="65"/>
    </row>
    <row r="116" spans="1:14" ht="15" customHeight="1" x14ac:dyDescent="0.25">
      <c r="A116" s="109"/>
      <c r="B116" s="1" t="s">
        <v>21</v>
      </c>
      <c r="C116" s="71">
        <v>4251158730448</v>
      </c>
      <c r="D116" s="115"/>
      <c r="E116" s="60" t="s">
        <v>225</v>
      </c>
      <c r="G116" s="65">
        <f>13-13</f>
        <v>0</v>
      </c>
      <c r="H116" s="3">
        <v>49.9</v>
      </c>
      <c r="I116" s="95"/>
      <c r="J116" s="97">
        <f t="shared" si="3"/>
        <v>0</v>
      </c>
      <c r="L116" s="60"/>
      <c r="M116" s="1"/>
      <c r="N116" s="65"/>
    </row>
    <row r="117" spans="1:14" ht="15" customHeight="1" x14ac:dyDescent="0.25">
      <c r="A117" s="109"/>
      <c r="B117" s="1" t="s">
        <v>24</v>
      </c>
      <c r="C117" s="71">
        <v>4251158730455</v>
      </c>
      <c r="D117" s="115" t="s">
        <v>211</v>
      </c>
      <c r="E117" s="60" t="s">
        <v>230</v>
      </c>
      <c r="G117" s="65">
        <f>14-14</f>
        <v>0</v>
      </c>
      <c r="H117" s="3">
        <v>49.9</v>
      </c>
      <c r="I117" s="95"/>
      <c r="J117" s="97">
        <f t="shared" si="3"/>
        <v>0</v>
      </c>
      <c r="L117" s="60"/>
      <c r="M117" s="1"/>
      <c r="N117" s="65"/>
    </row>
    <row r="118" spans="1:14" ht="15" customHeight="1" x14ac:dyDescent="0.25">
      <c r="A118" s="109"/>
      <c r="B118" s="75" t="s">
        <v>26</v>
      </c>
      <c r="C118" s="21">
        <v>4251158730462</v>
      </c>
      <c r="D118" s="115"/>
      <c r="E118" s="60" t="s">
        <v>226</v>
      </c>
      <c r="F118" s="1" t="s">
        <v>7</v>
      </c>
      <c r="G118" s="65">
        <f>78-8</f>
        <v>70</v>
      </c>
      <c r="H118" s="3">
        <v>49.9</v>
      </c>
      <c r="I118" s="95"/>
      <c r="J118" s="97">
        <f t="shared" si="3"/>
        <v>3493</v>
      </c>
    </row>
    <row r="119" spans="1:14" ht="15.75" customHeight="1" x14ac:dyDescent="0.25">
      <c r="A119" s="110"/>
      <c r="B119" s="75" t="s">
        <v>27</v>
      </c>
      <c r="C119" s="21">
        <v>4251158730479</v>
      </c>
      <c r="D119" s="116"/>
      <c r="E119" s="63" t="s">
        <v>227</v>
      </c>
      <c r="F119" s="1" t="s">
        <v>7</v>
      </c>
      <c r="G119" s="65">
        <f>110-8</f>
        <v>102</v>
      </c>
      <c r="H119" s="3">
        <v>49.9</v>
      </c>
      <c r="I119" s="95"/>
      <c r="J119" s="97">
        <f t="shared" si="3"/>
        <v>5089.8</v>
      </c>
    </row>
    <row r="120" spans="1:14" ht="15.75" thickBot="1" x14ac:dyDescent="0.3">
      <c r="A120" s="38" t="s">
        <v>204</v>
      </c>
      <c r="B120" s="39"/>
      <c r="C120" s="40"/>
      <c r="D120" s="41"/>
      <c r="E120" s="61"/>
      <c r="F120" s="42"/>
      <c r="G120" s="67">
        <f>SUM(G113:G119)</f>
        <v>668</v>
      </c>
      <c r="H120" s="43"/>
      <c r="I120" s="95">
        <f>G120</f>
        <v>668</v>
      </c>
      <c r="J120" s="97"/>
    </row>
    <row r="121" spans="1:14" ht="18" customHeight="1" thickTop="1" x14ac:dyDescent="0.25">
      <c r="A121" s="108"/>
      <c r="B121" s="1" t="s">
        <v>81</v>
      </c>
      <c r="C121" s="71">
        <v>4251158729640</v>
      </c>
      <c r="D121" s="117" t="s">
        <v>206</v>
      </c>
      <c r="E121" s="60" t="s">
        <v>228</v>
      </c>
      <c r="F121" s="6"/>
      <c r="G121" s="68">
        <f>230-5</f>
        <v>225</v>
      </c>
      <c r="H121" s="7">
        <v>49.9</v>
      </c>
      <c r="I121" s="95"/>
      <c r="J121" s="97">
        <f t="shared" si="3"/>
        <v>11227.5</v>
      </c>
      <c r="L121" s="60"/>
      <c r="M121" s="1"/>
      <c r="N121" s="65"/>
    </row>
    <row r="122" spans="1:14" ht="15" customHeight="1" x14ac:dyDescent="0.25">
      <c r="A122" s="109"/>
      <c r="B122" s="1" t="s">
        <v>79</v>
      </c>
      <c r="C122" s="71">
        <v>4251158729657</v>
      </c>
      <c r="D122" s="118"/>
      <c r="E122" s="60" t="s">
        <v>224</v>
      </c>
      <c r="G122" s="65">
        <f>61-5</f>
        <v>56</v>
      </c>
      <c r="H122" s="3">
        <v>49.9</v>
      </c>
      <c r="I122" s="95"/>
      <c r="J122" s="97">
        <f t="shared" si="3"/>
        <v>2794.4</v>
      </c>
      <c r="L122" s="60"/>
      <c r="M122" s="1"/>
      <c r="N122" s="65"/>
    </row>
    <row r="123" spans="1:14" ht="15" customHeight="1" x14ac:dyDescent="0.25">
      <c r="A123" s="109"/>
      <c r="B123" s="1" t="s">
        <v>78</v>
      </c>
      <c r="C123" s="71">
        <v>4251158729664</v>
      </c>
      <c r="D123" s="115" t="s">
        <v>215</v>
      </c>
      <c r="E123" s="60" t="s">
        <v>229</v>
      </c>
      <c r="G123" s="65">
        <f>39-25</f>
        <v>14</v>
      </c>
      <c r="H123" s="3">
        <v>49.9</v>
      </c>
      <c r="I123" s="95"/>
      <c r="J123" s="97">
        <f t="shared" si="3"/>
        <v>698.6</v>
      </c>
      <c r="L123" s="60"/>
      <c r="M123" s="1"/>
      <c r="N123" s="65"/>
    </row>
    <row r="124" spans="1:14" ht="15" customHeight="1" x14ac:dyDescent="0.25">
      <c r="A124" s="109"/>
      <c r="B124" s="1" t="s">
        <v>76</v>
      </c>
      <c r="C124" s="71">
        <v>4251158729671</v>
      </c>
      <c r="D124" s="115"/>
      <c r="E124" s="60" t="s">
        <v>225</v>
      </c>
      <c r="G124" s="65">
        <f>22-22</f>
        <v>0</v>
      </c>
      <c r="H124" s="3">
        <v>49.9</v>
      </c>
      <c r="I124" s="95"/>
      <c r="J124" s="97">
        <f t="shared" si="3"/>
        <v>0</v>
      </c>
      <c r="L124" s="60"/>
      <c r="M124" s="1"/>
      <c r="N124" s="65"/>
    </row>
    <row r="125" spans="1:14" ht="15" customHeight="1" x14ac:dyDescent="0.25">
      <c r="A125" s="109"/>
      <c r="B125" s="1" t="s">
        <v>80</v>
      </c>
      <c r="C125" s="71">
        <v>4251158729688</v>
      </c>
      <c r="D125" s="115" t="s">
        <v>217</v>
      </c>
      <c r="E125" s="60" t="s">
        <v>230</v>
      </c>
      <c r="G125" s="65">
        <f>37-37</f>
        <v>0</v>
      </c>
      <c r="H125" s="3">
        <v>49.9</v>
      </c>
      <c r="I125" s="95"/>
      <c r="J125" s="97">
        <f t="shared" si="3"/>
        <v>0</v>
      </c>
      <c r="L125" s="60"/>
      <c r="M125" s="1"/>
      <c r="N125" s="65"/>
    </row>
    <row r="126" spans="1:14" ht="15" customHeight="1" x14ac:dyDescent="0.25">
      <c r="A126" s="109"/>
      <c r="B126" s="75" t="s">
        <v>82</v>
      </c>
      <c r="C126" s="21">
        <v>4251158729695</v>
      </c>
      <c r="D126" s="115"/>
      <c r="E126" s="60" t="s">
        <v>226</v>
      </c>
      <c r="F126" s="1" t="s">
        <v>77</v>
      </c>
      <c r="G126" s="65">
        <f>149-20</f>
        <v>129</v>
      </c>
      <c r="H126" s="3">
        <v>49.9</v>
      </c>
      <c r="I126" s="95"/>
      <c r="J126" s="97">
        <f t="shared" si="3"/>
        <v>6437.0999999999995</v>
      </c>
    </row>
    <row r="127" spans="1:14" ht="15.75" customHeight="1" x14ac:dyDescent="0.25">
      <c r="A127" s="110"/>
      <c r="B127" s="76" t="s">
        <v>83</v>
      </c>
      <c r="C127" s="22">
        <v>4251158729701</v>
      </c>
      <c r="D127" s="116"/>
      <c r="E127" s="63" t="s">
        <v>227</v>
      </c>
      <c r="F127" s="4" t="s">
        <v>77</v>
      </c>
      <c r="G127" s="66">
        <f>136-15</f>
        <v>121</v>
      </c>
      <c r="H127" s="5">
        <v>49.9</v>
      </c>
      <c r="I127" s="95"/>
      <c r="J127" s="97">
        <f t="shared" si="3"/>
        <v>6037.9</v>
      </c>
    </row>
    <row r="128" spans="1:14" ht="16.5" customHeight="1" thickBot="1" x14ac:dyDescent="0.3">
      <c r="A128" s="38" t="s">
        <v>204</v>
      </c>
      <c r="B128" s="39"/>
      <c r="C128" s="40"/>
      <c r="D128" s="41"/>
      <c r="E128" s="61"/>
      <c r="F128" s="42"/>
      <c r="G128" s="67">
        <f>SUM(G121:G127)</f>
        <v>545</v>
      </c>
      <c r="H128" s="43"/>
      <c r="I128" s="95">
        <f>G128</f>
        <v>545</v>
      </c>
      <c r="J128" s="96"/>
    </row>
    <row r="129" spans="1:10" ht="15.75" customHeight="1" thickTop="1" x14ac:dyDescent="0.25">
      <c r="A129" s="108"/>
      <c r="B129" s="75" t="s">
        <v>162</v>
      </c>
      <c r="C129" s="21">
        <v>4251158715971</v>
      </c>
      <c r="D129" s="117" t="s">
        <v>210</v>
      </c>
      <c r="E129" s="60" t="s">
        <v>228</v>
      </c>
      <c r="F129" s="6" t="s">
        <v>170</v>
      </c>
      <c r="G129" s="65">
        <f>68</f>
        <v>68</v>
      </c>
      <c r="H129" s="3">
        <v>39.9</v>
      </c>
      <c r="I129" s="95"/>
      <c r="J129" s="97">
        <f t="shared" si="3"/>
        <v>2713.2</v>
      </c>
    </row>
    <row r="130" spans="1:10" x14ac:dyDescent="0.25">
      <c r="A130" s="109"/>
      <c r="B130" s="75" t="s">
        <v>163</v>
      </c>
      <c r="C130" s="21">
        <v>4251158715988</v>
      </c>
      <c r="D130" s="118"/>
      <c r="E130" s="60" t="s">
        <v>224</v>
      </c>
      <c r="F130" s="1" t="s">
        <v>170</v>
      </c>
      <c r="G130" s="65">
        <v>118</v>
      </c>
      <c r="H130" s="3">
        <v>39.9</v>
      </c>
      <c r="I130" s="95"/>
      <c r="J130" s="97">
        <f t="shared" si="3"/>
        <v>4708.2</v>
      </c>
    </row>
    <row r="131" spans="1:10" ht="15" customHeight="1" x14ac:dyDescent="0.25">
      <c r="A131" s="109"/>
      <c r="B131" s="75" t="s">
        <v>164</v>
      </c>
      <c r="C131" s="21">
        <v>4251158715995</v>
      </c>
      <c r="D131" s="115" t="s">
        <v>216</v>
      </c>
      <c r="E131" s="60" t="s">
        <v>229</v>
      </c>
      <c r="F131" s="1" t="s">
        <v>170</v>
      </c>
      <c r="G131" s="65">
        <f>36-36</f>
        <v>0</v>
      </c>
      <c r="H131" s="3">
        <v>39.9</v>
      </c>
      <c r="I131" s="95"/>
      <c r="J131" s="97">
        <f t="shared" si="3"/>
        <v>0</v>
      </c>
    </row>
    <row r="132" spans="1:10" x14ac:dyDescent="0.25">
      <c r="A132" s="109"/>
      <c r="B132" s="75" t="s">
        <v>165</v>
      </c>
      <c r="C132" s="21">
        <v>4251158716008</v>
      </c>
      <c r="D132" s="115"/>
      <c r="E132" s="60" t="s">
        <v>225</v>
      </c>
      <c r="F132" s="1" t="s">
        <v>170</v>
      </c>
      <c r="G132" s="65">
        <f>3-3</f>
        <v>0</v>
      </c>
      <c r="H132" s="3">
        <v>39.9</v>
      </c>
      <c r="I132" s="95"/>
      <c r="J132" s="97">
        <f t="shared" si="3"/>
        <v>0</v>
      </c>
    </row>
    <row r="133" spans="1:10" x14ac:dyDescent="0.25">
      <c r="A133" s="109"/>
      <c r="B133" s="75" t="s">
        <v>166</v>
      </c>
      <c r="C133" s="21">
        <v>4251158716015</v>
      </c>
      <c r="D133" s="115" t="s">
        <v>209</v>
      </c>
      <c r="E133" s="60" t="s">
        <v>230</v>
      </c>
      <c r="F133" s="1" t="s">
        <v>170</v>
      </c>
      <c r="G133" s="65">
        <f>3-3</f>
        <v>0</v>
      </c>
      <c r="H133" s="3">
        <v>39.9</v>
      </c>
      <c r="I133" s="95"/>
      <c r="J133" s="97">
        <f t="shared" si="3"/>
        <v>0</v>
      </c>
    </row>
    <row r="134" spans="1:10" x14ac:dyDescent="0.25">
      <c r="A134" s="109"/>
      <c r="B134" s="75" t="s">
        <v>167</v>
      </c>
      <c r="C134" s="21">
        <v>4251158716022</v>
      </c>
      <c r="D134" s="115"/>
      <c r="E134" s="60" t="s">
        <v>226</v>
      </c>
      <c r="F134" s="1" t="s">
        <v>170</v>
      </c>
      <c r="G134" s="65">
        <f>83-15</f>
        <v>68</v>
      </c>
      <c r="H134" s="3">
        <v>39.9</v>
      </c>
      <c r="I134" s="95"/>
      <c r="J134" s="97">
        <f t="shared" si="3"/>
        <v>2713.2</v>
      </c>
    </row>
    <row r="135" spans="1:10" ht="15.75" customHeight="1" x14ac:dyDescent="0.25">
      <c r="A135" s="110"/>
      <c r="B135" s="75" t="s">
        <v>168</v>
      </c>
      <c r="C135" s="21">
        <v>4251158716039</v>
      </c>
      <c r="D135" s="116"/>
      <c r="E135" s="63" t="s">
        <v>227</v>
      </c>
      <c r="F135" s="4" t="s">
        <v>170</v>
      </c>
      <c r="G135" s="65">
        <f>328-15-1</f>
        <v>312</v>
      </c>
      <c r="H135" s="3">
        <v>39.9</v>
      </c>
      <c r="I135" s="95"/>
      <c r="J135" s="97">
        <f t="shared" si="3"/>
        <v>12448.8</v>
      </c>
    </row>
    <row r="136" spans="1:10" ht="16.5" customHeight="1" thickBot="1" x14ac:dyDescent="0.3">
      <c r="A136" s="38" t="s">
        <v>204</v>
      </c>
      <c r="B136" s="39"/>
      <c r="C136" s="40"/>
      <c r="D136" s="41"/>
      <c r="E136" s="61"/>
      <c r="F136" s="42"/>
      <c r="G136" s="67">
        <f>SUM(G129:G135)</f>
        <v>566</v>
      </c>
      <c r="H136" s="43"/>
      <c r="I136" s="95">
        <f>G136</f>
        <v>566</v>
      </c>
      <c r="J136" s="96"/>
    </row>
    <row r="137" spans="1:10" ht="15.75" customHeight="1" thickTop="1" x14ac:dyDescent="0.25">
      <c r="A137" s="108"/>
      <c r="B137" s="75" t="s">
        <v>43</v>
      </c>
      <c r="C137" s="21">
        <v>4251158714226</v>
      </c>
      <c r="D137" s="117" t="s">
        <v>206</v>
      </c>
      <c r="E137" s="60" t="s">
        <v>228</v>
      </c>
      <c r="F137" s="1" t="s">
        <v>36</v>
      </c>
      <c r="G137" s="65">
        <f>103-5</f>
        <v>98</v>
      </c>
      <c r="H137" s="3">
        <v>49.9</v>
      </c>
      <c r="I137" s="95"/>
      <c r="J137" s="97">
        <f t="shared" si="3"/>
        <v>4890.2</v>
      </c>
    </row>
    <row r="138" spans="1:10" x14ac:dyDescent="0.25">
      <c r="A138" s="109"/>
      <c r="B138" s="75" t="s">
        <v>44</v>
      </c>
      <c r="C138" s="21">
        <v>4251158702599</v>
      </c>
      <c r="D138" s="118"/>
      <c r="E138" s="60" t="s">
        <v>224</v>
      </c>
      <c r="F138" s="1" t="s">
        <v>36</v>
      </c>
      <c r="G138" s="65">
        <f>16-16</f>
        <v>0</v>
      </c>
      <c r="H138" s="3">
        <v>49.9</v>
      </c>
      <c r="I138" s="95"/>
      <c r="J138" s="97">
        <f t="shared" si="3"/>
        <v>0</v>
      </c>
    </row>
    <row r="139" spans="1:10" x14ac:dyDescent="0.25">
      <c r="A139" s="109"/>
      <c r="B139" s="75" t="s">
        <v>45</v>
      </c>
      <c r="C139" s="21">
        <v>4251158702605</v>
      </c>
      <c r="D139" s="115" t="s">
        <v>215</v>
      </c>
      <c r="E139" s="60" t="s">
        <v>229</v>
      </c>
      <c r="F139" s="1" t="s">
        <v>36</v>
      </c>
      <c r="G139" s="65">
        <f>19-19</f>
        <v>0</v>
      </c>
      <c r="H139" s="3">
        <v>49.9</v>
      </c>
      <c r="I139" s="95"/>
      <c r="J139" s="97">
        <f t="shared" si="3"/>
        <v>0</v>
      </c>
    </row>
    <row r="140" spans="1:10" x14ac:dyDescent="0.25">
      <c r="A140" s="109"/>
      <c r="B140" s="75" t="s">
        <v>46</v>
      </c>
      <c r="C140" s="21">
        <v>4251158702612</v>
      </c>
      <c r="D140" s="115"/>
      <c r="E140" s="60" t="s">
        <v>225</v>
      </c>
      <c r="F140" s="1" t="s">
        <v>36</v>
      </c>
      <c r="G140" s="65">
        <f>13-13</f>
        <v>0</v>
      </c>
      <c r="H140" s="3">
        <v>49.9</v>
      </c>
      <c r="I140" s="95"/>
      <c r="J140" s="97">
        <f t="shared" si="3"/>
        <v>0</v>
      </c>
    </row>
    <row r="141" spans="1:10" x14ac:dyDescent="0.25">
      <c r="A141" s="109"/>
      <c r="B141" s="75" t="s">
        <v>47</v>
      </c>
      <c r="C141" s="21">
        <v>4251158702629</v>
      </c>
      <c r="D141" s="115" t="s">
        <v>218</v>
      </c>
      <c r="E141" s="60" t="s">
        <v>230</v>
      </c>
      <c r="F141" s="1" t="s">
        <v>36</v>
      </c>
      <c r="G141" s="65">
        <f>68-25</f>
        <v>43</v>
      </c>
      <c r="H141" s="3">
        <v>49.9</v>
      </c>
      <c r="I141" s="95"/>
      <c r="J141" s="97">
        <f t="shared" si="3"/>
        <v>2145.6999999999998</v>
      </c>
    </row>
    <row r="142" spans="1:10" x14ac:dyDescent="0.25">
      <c r="A142" s="109"/>
      <c r="B142" s="75" t="s">
        <v>48</v>
      </c>
      <c r="C142" s="21">
        <v>4251158702636</v>
      </c>
      <c r="D142" s="115"/>
      <c r="E142" s="60" t="s">
        <v>226</v>
      </c>
      <c r="F142" s="1" t="s">
        <v>36</v>
      </c>
      <c r="G142" s="65">
        <f>2-2</f>
        <v>0</v>
      </c>
      <c r="H142" s="3">
        <v>49.9</v>
      </c>
      <c r="I142" s="95"/>
      <c r="J142" s="97">
        <f t="shared" si="3"/>
        <v>0</v>
      </c>
    </row>
    <row r="143" spans="1:10" x14ac:dyDescent="0.25">
      <c r="A143" s="110"/>
      <c r="B143" s="76" t="s">
        <v>49</v>
      </c>
      <c r="C143" s="22">
        <v>4251158714752</v>
      </c>
      <c r="D143" s="116"/>
      <c r="E143" s="63" t="s">
        <v>227</v>
      </c>
      <c r="F143" s="4" t="s">
        <v>36</v>
      </c>
      <c r="G143" s="66">
        <f>293-20</f>
        <v>273</v>
      </c>
      <c r="H143" s="5">
        <v>49.9</v>
      </c>
      <c r="I143" s="95"/>
      <c r="J143" s="97">
        <f t="shared" si="3"/>
        <v>13622.699999999999</v>
      </c>
    </row>
    <row r="144" spans="1:10" ht="20.25" customHeight="1" x14ac:dyDescent="0.25">
      <c r="A144" s="87" t="s">
        <v>204</v>
      </c>
      <c r="B144" s="88"/>
      <c r="C144" s="89"/>
      <c r="D144" s="90"/>
      <c r="E144" s="91"/>
      <c r="F144" s="92"/>
      <c r="G144" s="93">
        <f>SUM(G137:G143)</f>
        <v>414</v>
      </c>
      <c r="H144" s="94"/>
      <c r="I144" s="95">
        <f>G144</f>
        <v>414</v>
      </c>
      <c r="J144" s="96"/>
    </row>
    <row r="145" spans="1:14" ht="20.25" customHeight="1" x14ac:dyDescent="0.25">
      <c r="A145" s="109"/>
      <c r="B145" s="1" t="s">
        <v>11</v>
      </c>
      <c r="C145" s="71">
        <v>4251158730486</v>
      </c>
      <c r="D145" s="118" t="s">
        <v>206</v>
      </c>
      <c r="E145" s="60" t="s">
        <v>228</v>
      </c>
      <c r="G145" s="65">
        <f>42-5</f>
        <v>37</v>
      </c>
      <c r="H145" s="3">
        <v>49.9</v>
      </c>
      <c r="I145" s="95"/>
      <c r="J145" s="97">
        <f t="shared" si="3"/>
        <v>1846.3</v>
      </c>
      <c r="L145" s="60"/>
      <c r="M145" s="1"/>
      <c r="N145" s="65"/>
    </row>
    <row r="146" spans="1:14" ht="15" customHeight="1" x14ac:dyDescent="0.25">
      <c r="A146" s="109"/>
      <c r="B146" s="1" t="s">
        <v>9</v>
      </c>
      <c r="C146" s="71">
        <v>4251158730493</v>
      </c>
      <c r="D146" s="118"/>
      <c r="E146" s="60" t="s">
        <v>224</v>
      </c>
      <c r="G146" s="65">
        <f>79-10</f>
        <v>69</v>
      </c>
      <c r="H146" s="3">
        <v>49.9</v>
      </c>
      <c r="I146" s="95"/>
      <c r="J146" s="97">
        <f t="shared" si="3"/>
        <v>3443.1</v>
      </c>
      <c r="L146" s="60"/>
      <c r="M146" s="1"/>
      <c r="N146" s="65"/>
    </row>
    <row r="147" spans="1:14" ht="15" customHeight="1" x14ac:dyDescent="0.25">
      <c r="A147" s="109"/>
      <c r="B147" s="1" t="s">
        <v>8</v>
      </c>
      <c r="C147" s="71">
        <v>4251158730509</v>
      </c>
      <c r="D147" s="115" t="s">
        <v>214</v>
      </c>
      <c r="E147" s="60" t="s">
        <v>229</v>
      </c>
      <c r="G147" s="65">
        <f>40-25-1</f>
        <v>14</v>
      </c>
      <c r="H147" s="3">
        <v>49.9</v>
      </c>
      <c r="I147" s="95"/>
      <c r="J147" s="97">
        <f t="shared" si="3"/>
        <v>698.6</v>
      </c>
      <c r="L147" s="60"/>
      <c r="M147" s="1"/>
      <c r="N147" s="65"/>
    </row>
    <row r="148" spans="1:14" ht="15" customHeight="1" x14ac:dyDescent="0.25">
      <c r="A148" s="109"/>
      <c r="B148" s="1" t="s">
        <v>6</v>
      </c>
      <c r="C148" s="71">
        <v>4251158730516</v>
      </c>
      <c r="D148" s="115"/>
      <c r="E148" s="60" t="s">
        <v>225</v>
      </c>
      <c r="G148" s="65">
        <f>28-28</f>
        <v>0</v>
      </c>
      <c r="H148" s="3">
        <v>49.9</v>
      </c>
      <c r="I148" s="95"/>
      <c r="J148" s="97">
        <f t="shared" si="3"/>
        <v>0</v>
      </c>
      <c r="L148" s="60"/>
      <c r="M148" s="1"/>
      <c r="N148" s="65"/>
    </row>
    <row r="149" spans="1:14" ht="15" customHeight="1" x14ac:dyDescent="0.25">
      <c r="A149" s="109"/>
      <c r="B149" s="1" t="s">
        <v>10</v>
      </c>
      <c r="C149" s="71">
        <v>4251158730523</v>
      </c>
      <c r="D149" s="115" t="s">
        <v>217</v>
      </c>
      <c r="E149" s="60" t="s">
        <v>230</v>
      </c>
      <c r="G149" s="65">
        <f>17-17</f>
        <v>0</v>
      </c>
      <c r="H149" s="3">
        <v>49.9</v>
      </c>
      <c r="I149" s="95"/>
      <c r="J149" s="97">
        <f t="shared" si="3"/>
        <v>0</v>
      </c>
      <c r="L149" s="60"/>
      <c r="M149" s="1"/>
      <c r="N149" s="65"/>
    </row>
    <row r="150" spans="1:14" ht="15" customHeight="1" x14ac:dyDescent="0.25">
      <c r="A150" s="109"/>
      <c r="B150" s="75" t="s">
        <v>12</v>
      </c>
      <c r="C150" s="21">
        <v>4251158730530</v>
      </c>
      <c r="D150" s="115"/>
      <c r="E150" s="60" t="s">
        <v>226</v>
      </c>
      <c r="F150" s="1" t="s">
        <v>7</v>
      </c>
      <c r="G150" s="65">
        <f>90-20</f>
        <v>70</v>
      </c>
      <c r="H150" s="3">
        <v>49.9</v>
      </c>
      <c r="I150" s="95"/>
      <c r="J150" s="97">
        <f t="shared" si="3"/>
        <v>3493</v>
      </c>
    </row>
    <row r="151" spans="1:14" ht="17.25" customHeight="1" x14ac:dyDescent="0.25">
      <c r="A151" s="110"/>
      <c r="B151" s="75" t="s">
        <v>13</v>
      </c>
      <c r="C151" s="21">
        <v>4251158730547</v>
      </c>
      <c r="D151" s="116"/>
      <c r="E151" s="63" t="s">
        <v>227</v>
      </c>
      <c r="F151" s="1" t="s">
        <v>7</v>
      </c>
      <c r="G151" s="65">
        <f>152-15</f>
        <v>137</v>
      </c>
      <c r="H151" s="3">
        <v>49.9</v>
      </c>
      <c r="I151" s="95"/>
      <c r="J151" s="97">
        <f t="shared" si="3"/>
        <v>6836.3</v>
      </c>
    </row>
    <row r="152" spans="1:14" ht="15.75" thickBot="1" x14ac:dyDescent="0.3">
      <c r="A152" s="44" t="s">
        <v>204</v>
      </c>
      <c r="B152" s="79"/>
      <c r="C152" s="45"/>
      <c r="D152" s="41"/>
      <c r="E152" s="61"/>
      <c r="F152" s="42"/>
      <c r="G152" s="67">
        <f>SUM(G145:G151)</f>
        <v>327</v>
      </c>
      <c r="H152" s="43"/>
      <c r="I152" s="95">
        <f>G152</f>
        <v>327</v>
      </c>
      <c r="J152" s="96"/>
    </row>
    <row r="153" spans="1:14" ht="15.75" customHeight="1" thickTop="1" x14ac:dyDescent="0.25">
      <c r="A153" s="111"/>
      <c r="B153" s="1" t="s">
        <v>172</v>
      </c>
      <c r="C153" s="71">
        <v>4251158711072</v>
      </c>
      <c r="D153" s="123" t="s">
        <v>206</v>
      </c>
      <c r="E153" s="60" t="s">
        <v>224</v>
      </c>
      <c r="F153" s="6" t="s">
        <v>170</v>
      </c>
      <c r="G153" s="68">
        <f>21-10</f>
        <v>11</v>
      </c>
      <c r="H153" s="7">
        <v>49.9</v>
      </c>
      <c r="I153" s="95"/>
      <c r="J153" s="97">
        <f t="shared" si="3"/>
        <v>548.9</v>
      </c>
    </row>
    <row r="154" spans="1:14" x14ac:dyDescent="0.25">
      <c r="A154" s="112"/>
      <c r="B154" s="1" t="s">
        <v>171</v>
      </c>
      <c r="C154" s="71">
        <v>4251158711089</v>
      </c>
      <c r="D154" s="118"/>
      <c r="E154" s="60" t="s">
        <v>229</v>
      </c>
      <c r="F154" s="1" t="s">
        <v>170</v>
      </c>
      <c r="G154" s="65">
        <f>8-8</f>
        <v>0</v>
      </c>
      <c r="H154" s="3">
        <v>49.9</v>
      </c>
      <c r="I154" s="95"/>
      <c r="J154" s="97">
        <f t="shared" si="3"/>
        <v>0</v>
      </c>
    </row>
    <row r="155" spans="1:14" x14ac:dyDescent="0.25">
      <c r="A155" s="112"/>
      <c r="B155" s="1" t="s">
        <v>169</v>
      </c>
      <c r="C155" s="71">
        <v>4251158711096</v>
      </c>
      <c r="D155" s="115" t="s">
        <v>216</v>
      </c>
      <c r="E155" s="60" t="s">
        <v>225</v>
      </c>
      <c r="F155" s="1" t="s">
        <v>170</v>
      </c>
      <c r="G155" s="65">
        <f>8-8</f>
        <v>0</v>
      </c>
      <c r="H155" s="3">
        <v>49.9</v>
      </c>
      <c r="I155" s="95"/>
      <c r="J155" s="97">
        <f t="shared" si="3"/>
        <v>0</v>
      </c>
    </row>
    <row r="156" spans="1:14" x14ac:dyDescent="0.25">
      <c r="A156" s="112"/>
      <c r="B156" s="73" t="s">
        <v>173</v>
      </c>
      <c r="C156" s="18">
        <v>4251158711102</v>
      </c>
      <c r="D156" s="115"/>
      <c r="E156" s="60" t="s">
        <v>230</v>
      </c>
      <c r="F156" s="1" t="s">
        <v>170</v>
      </c>
      <c r="G156" s="65">
        <f>137-25</f>
        <v>112</v>
      </c>
      <c r="H156" s="3">
        <v>49.9</v>
      </c>
      <c r="I156" s="95"/>
      <c r="J156" s="97">
        <f t="shared" si="3"/>
        <v>5588.8</v>
      </c>
    </row>
    <row r="157" spans="1:14" x14ac:dyDescent="0.25">
      <c r="A157" s="112"/>
      <c r="B157" s="73" t="s">
        <v>174</v>
      </c>
      <c r="C157" s="18">
        <v>4251158711119</v>
      </c>
      <c r="D157" s="115" t="s">
        <v>211</v>
      </c>
      <c r="E157" s="60" t="s">
        <v>226</v>
      </c>
      <c r="F157" s="1" t="s">
        <v>170</v>
      </c>
      <c r="G157" s="65">
        <f>210-20</f>
        <v>190</v>
      </c>
      <c r="H157" s="3">
        <v>49.9</v>
      </c>
      <c r="I157" s="95"/>
      <c r="J157" s="97">
        <f t="shared" si="3"/>
        <v>9481</v>
      </c>
    </row>
    <row r="158" spans="1:14" ht="15.75" customHeight="1" x14ac:dyDescent="0.25">
      <c r="A158" s="113"/>
      <c r="B158" s="73" t="s">
        <v>175</v>
      </c>
      <c r="C158" s="18">
        <v>4251158714950</v>
      </c>
      <c r="D158" s="116"/>
      <c r="E158" s="63" t="s">
        <v>227</v>
      </c>
      <c r="F158" s="1" t="s">
        <v>170</v>
      </c>
      <c r="G158" s="65">
        <f>60-15</f>
        <v>45</v>
      </c>
      <c r="H158" s="3">
        <v>49.9</v>
      </c>
      <c r="I158" s="95"/>
      <c r="J158" s="97">
        <f t="shared" si="3"/>
        <v>2245.5</v>
      </c>
    </row>
    <row r="159" spans="1:14" ht="16.5" customHeight="1" thickBot="1" x14ac:dyDescent="0.3">
      <c r="A159" s="38" t="s">
        <v>204</v>
      </c>
      <c r="B159" s="39"/>
      <c r="C159" s="40"/>
      <c r="D159" s="41"/>
      <c r="E159" s="61"/>
      <c r="F159" s="42"/>
      <c r="G159" s="67">
        <f>SUM(G153:G158)</f>
        <v>358</v>
      </c>
      <c r="H159" s="43"/>
      <c r="I159" s="95">
        <f>G159</f>
        <v>358</v>
      </c>
      <c r="J159" s="96"/>
    </row>
    <row r="160" spans="1:14" ht="15.75" customHeight="1" thickTop="1" x14ac:dyDescent="0.25">
      <c r="A160" s="108"/>
      <c r="B160" s="1" t="s">
        <v>32</v>
      </c>
      <c r="C160" s="71">
        <v>4251158730349</v>
      </c>
      <c r="D160" s="123" t="s">
        <v>210</v>
      </c>
      <c r="E160" s="60" t="s">
        <v>228</v>
      </c>
      <c r="F160" s="57"/>
      <c r="G160" s="69">
        <f>90-5</f>
        <v>85</v>
      </c>
      <c r="H160" s="58">
        <v>39.9</v>
      </c>
      <c r="I160" s="95"/>
      <c r="J160" s="97">
        <f t="shared" si="3"/>
        <v>3391.5</v>
      </c>
      <c r="L160" s="60"/>
      <c r="M160" s="1"/>
      <c r="N160" s="65"/>
    </row>
    <row r="161" spans="1:14" ht="15" customHeight="1" x14ac:dyDescent="0.25">
      <c r="A161" s="109"/>
      <c r="B161" s="1" t="s">
        <v>30</v>
      </c>
      <c r="C161" s="71">
        <v>4251158730356</v>
      </c>
      <c r="D161" s="118"/>
      <c r="E161" s="60" t="s">
        <v>224</v>
      </c>
      <c r="G161" s="65">
        <f>90-10</f>
        <v>80</v>
      </c>
      <c r="H161" s="3">
        <v>39.9</v>
      </c>
      <c r="I161" s="95"/>
      <c r="J161" s="97">
        <f t="shared" si="3"/>
        <v>3192</v>
      </c>
      <c r="L161" s="60"/>
      <c r="M161" s="1"/>
      <c r="N161" s="65"/>
    </row>
    <row r="162" spans="1:14" ht="15" customHeight="1" x14ac:dyDescent="0.25">
      <c r="A162" s="109"/>
      <c r="B162" s="1" t="s">
        <v>29</v>
      </c>
      <c r="C162" s="71">
        <v>4251158730363</v>
      </c>
      <c r="D162" s="115" t="s">
        <v>214</v>
      </c>
      <c r="E162" s="60" t="s">
        <v>229</v>
      </c>
      <c r="G162" s="65">
        <f>47-20</f>
        <v>27</v>
      </c>
      <c r="H162" s="3">
        <v>39.9</v>
      </c>
      <c r="I162" s="95"/>
      <c r="J162" s="97">
        <f t="shared" si="3"/>
        <v>1077.3</v>
      </c>
      <c r="L162" s="60"/>
      <c r="M162" s="1"/>
      <c r="N162" s="65"/>
    </row>
    <row r="163" spans="1:14" ht="15" customHeight="1" x14ac:dyDescent="0.25">
      <c r="A163" s="109"/>
      <c r="B163" s="1" t="s">
        <v>28</v>
      </c>
      <c r="C163" s="71">
        <v>4251158730370</v>
      </c>
      <c r="D163" s="115"/>
      <c r="E163" s="60" t="s">
        <v>225</v>
      </c>
      <c r="G163" s="65">
        <f>31-31</f>
        <v>0</v>
      </c>
      <c r="H163" s="3">
        <v>39.9</v>
      </c>
      <c r="I163" s="95"/>
      <c r="J163" s="97">
        <f t="shared" si="3"/>
        <v>0</v>
      </c>
      <c r="L163" s="60"/>
      <c r="M163" s="1"/>
      <c r="N163" s="65"/>
    </row>
    <row r="164" spans="1:14" ht="15" customHeight="1" x14ac:dyDescent="0.25">
      <c r="A164" s="109"/>
      <c r="B164" s="1" t="s">
        <v>31</v>
      </c>
      <c r="C164" s="71">
        <v>4251158730387</v>
      </c>
      <c r="D164" s="115" t="s">
        <v>212</v>
      </c>
      <c r="E164" s="60" t="s">
        <v>230</v>
      </c>
      <c r="G164" s="65">
        <f>24-24</f>
        <v>0</v>
      </c>
      <c r="H164" s="3">
        <v>39.9</v>
      </c>
      <c r="I164" s="95"/>
      <c r="J164" s="97">
        <f t="shared" si="3"/>
        <v>0</v>
      </c>
      <c r="L164" s="60"/>
      <c r="M164" s="1"/>
      <c r="N164" s="65"/>
    </row>
    <row r="165" spans="1:14" ht="15" customHeight="1" x14ac:dyDescent="0.25">
      <c r="A165" s="109"/>
      <c r="B165" s="75" t="s">
        <v>33</v>
      </c>
      <c r="C165" s="21">
        <v>4251158730394</v>
      </c>
      <c r="D165" s="115"/>
      <c r="E165" s="60" t="s">
        <v>226</v>
      </c>
      <c r="F165" s="1" t="s">
        <v>7</v>
      </c>
      <c r="G165" s="65">
        <f>62-20-1</f>
        <v>41</v>
      </c>
      <c r="H165" s="3">
        <v>39.9</v>
      </c>
      <c r="I165" s="95"/>
      <c r="J165" s="97">
        <f t="shared" si="3"/>
        <v>1635.8999999999999</v>
      </c>
    </row>
    <row r="166" spans="1:14" ht="19.5" customHeight="1" x14ac:dyDescent="0.25">
      <c r="A166" s="110"/>
      <c r="B166" s="75" t="s">
        <v>34</v>
      </c>
      <c r="C166" s="21">
        <v>4251158730400</v>
      </c>
      <c r="D166" s="115"/>
      <c r="E166" s="63" t="s">
        <v>227</v>
      </c>
      <c r="F166" s="1" t="s">
        <v>7</v>
      </c>
      <c r="G166" s="65">
        <f>93-20</f>
        <v>73</v>
      </c>
      <c r="H166" s="3">
        <v>39.9</v>
      </c>
      <c r="I166" s="95"/>
      <c r="J166" s="97">
        <f t="shared" si="3"/>
        <v>2912.7</v>
      </c>
    </row>
    <row r="167" spans="1:14" ht="19.5" customHeight="1" thickBot="1" x14ac:dyDescent="0.3">
      <c r="A167" s="38" t="s">
        <v>204</v>
      </c>
      <c r="B167" s="59"/>
      <c r="C167" s="40"/>
      <c r="D167" s="41"/>
      <c r="E167" s="61"/>
      <c r="F167" s="42"/>
      <c r="G167" s="67">
        <f>SUM(G160:G166)</f>
        <v>306</v>
      </c>
      <c r="H167" s="43"/>
      <c r="I167" s="95">
        <f>G167</f>
        <v>306</v>
      </c>
      <c r="J167" s="96"/>
    </row>
    <row r="168" spans="1:14" ht="18.75" customHeight="1" thickTop="1" x14ac:dyDescent="0.25">
      <c r="A168" s="111"/>
      <c r="B168" s="1" t="s">
        <v>116</v>
      </c>
      <c r="C168" s="24">
        <v>4251158710778</v>
      </c>
      <c r="D168" s="118" t="s">
        <v>210</v>
      </c>
      <c r="E168" s="60" t="s">
        <v>224</v>
      </c>
      <c r="G168" s="65">
        <f>28-10</f>
        <v>18</v>
      </c>
      <c r="H168" s="3">
        <v>39.9</v>
      </c>
      <c r="I168" s="95"/>
      <c r="J168" s="97">
        <f t="shared" si="3"/>
        <v>718.19999999999993</v>
      </c>
      <c r="L168" s="60"/>
      <c r="M168" s="1"/>
      <c r="N168" s="65"/>
    </row>
    <row r="169" spans="1:14" x14ac:dyDescent="0.25">
      <c r="A169" s="112"/>
      <c r="B169" s="73" t="s">
        <v>115</v>
      </c>
      <c r="C169" s="18">
        <v>4251158710792</v>
      </c>
      <c r="D169" s="118"/>
      <c r="E169" s="60" t="s">
        <v>225</v>
      </c>
      <c r="G169" s="65">
        <f>64-25</f>
        <v>39</v>
      </c>
      <c r="H169" s="3">
        <v>39.9</v>
      </c>
      <c r="I169" s="95"/>
      <c r="J169" s="97">
        <f t="shared" si="3"/>
        <v>1556.1</v>
      </c>
      <c r="L169" s="60"/>
      <c r="M169" s="1"/>
      <c r="N169" s="65"/>
    </row>
    <row r="170" spans="1:14" ht="15" customHeight="1" x14ac:dyDescent="0.25">
      <c r="A170" s="112"/>
      <c r="B170" s="73" t="s">
        <v>117</v>
      </c>
      <c r="C170" s="18">
        <v>4251158710808</v>
      </c>
      <c r="D170" s="115" t="s">
        <v>215</v>
      </c>
      <c r="E170" s="60" t="s">
        <v>230</v>
      </c>
      <c r="F170" s="1" t="s">
        <v>77</v>
      </c>
      <c r="G170" s="65">
        <f>133-25</f>
        <v>108</v>
      </c>
      <c r="H170" s="3">
        <v>39.9</v>
      </c>
      <c r="I170" s="95"/>
      <c r="J170" s="97">
        <f t="shared" si="3"/>
        <v>4309.2</v>
      </c>
    </row>
    <row r="171" spans="1:14" x14ac:dyDescent="0.25">
      <c r="A171" s="112"/>
      <c r="B171" s="73" t="s">
        <v>118</v>
      </c>
      <c r="C171" s="18">
        <v>4251158710815</v>
      </c>
      <c r="D171" s="115"/>
      <c r="E171" s="60" t="s">
        <v>226</v>
      </c>
      <c r="F171" s="1" t="s">
        <v>77</v>
      </c>
      <c r="G171" s="65">
        <f>102-25</f>
        <v>77</v>
      </c>
      <c r="H171" s="3">
        <v>39.9</v>
      </c>
      <c r="I171" s="95"/>
      <c r="J171" s="97">
        <f t="shared" si="3"/>
        <v>3072.2999999999997</v>
      </c>
    </row>
    <row r="172" spans="1:14" ht="30" x14ac:dyDescent="0.25">
      <c r="A172" s="113"/>
      <c r="B172" s="73" t="s">
        <v>119</v>
      </c>
      <c r="C172" s="18">
        <v>4251158715070</v>
      </c>
      <c r="D172" s="25" t="s">
        <v>219</v>
      </c>
      <c r="E172" s="63" t="s">
        <v>227</v>
      </c>
      <c r="F172" s="1" t="s">
        <v>77</v>
      </c>
      <c r="G172" s="65">
        <f>15-15</f>
        <v>0</v>
      </c>
      <c r="H172" s="3">
        <v>39.9</v>
      </c>
      <c r="I172" s="95"/>
      <c r="J172" s="97">
        <f t="shared" si="3"/>
        <v>0</v>
      </c>
    </row>
    <row r="173" spans="1:14" ht="15.75" thickBot="1" x14ac:dyDescent="0.3">
      <c r="A173" s="38" t="s">
        <v>204</v>
      </c>
      <c r="B173" s="39"/>
      <c r="C173" s="40"/>
      <c r="D173" s="41"/>
      <c r="E173" s="61"/>
      <c r="F173" s="42"/>
      <c r="G173" s="67">
        <f>SUM(G168:G172)</f>
        <v>242</v>
      </c>
      <c r="H173" s="43"/>
      <c r="I173" s="95">
        <f>G173</f>
        <v>242</v>
      </c>
      <c r="J173" s="96"/>
    </row>
    <row r="174" spans="1:14" ht="26.25" customHeight="1" thickTop="1" x14ac:dyDescent="0.25">
      <c r="A174" s="111"/>
      <c r="B174" s="1" t="s">
        <v>88</v>
      </c>
      <c r="C174" s="24">
        <v>4251158710525</v>
      </c>
      <c r="D174" s="48" t="s">
        <v>206</v>
      </c>
      <c r="E174" s="60" t="s">
        <v>224</v>
      </c>
      <c r="F174" s="6" t="s">
        <v>77</v>
      </c>
      <c r="G174" s="68">
        <f>33-10</f>
        <v>23</v>
      </c>
      <c r="H174" s="7">
        <v>49.9</v>
      </c>
      <c r="I174" s="95"/>
      <c r="J174" s="97">
        <f t="shared" si="3"/>
        <v>1147.7</v>
      </c>
    </row>
    <row r="175" spans="1:14" ht="26.25" customHeight="1" x14ac:dyDescent="0.25">
      <c r="A175" s="112"/>
      <c r="B175" s="1" t="s">
        <v>87</v>
      </c>
      <c r="C175" s="24">
        <v>4251158710549</v>
      </c>
      <c r="D175" s="25" t="s">
        <v>215</v>
      </c>
      <c r="E175" s="60" t="s">
        <v>225</v>
      </c>
      <c r="F175" s="1" t="s">
        <v>77</v>
      </c>
      <c r="G175" s="65">
        <f>18-18</f>
        <v>0</v>
      </c>
      <c r="H175" s="3">
        <v>49.9</v>
      </c>
      <c r="I175" s="95"/>
      <c r="J175" s="97">
        <f t="shared" si="3"/>
        <v>0</v>
      </c>
    </row>
    <row r="176" spans="1:14" ht="27" customHeight="1" x14ac:dyDescent="0.25">
      <c r="A176" s="113"/>
      <c r="B176" s="74" t="s">
        <v>89</v>
      </c>
      <c r="C176" s="19">
        <v>4251158710556</v>
      </c>
      <c r="D176" s="25" t="s">
        <v>219</v>
      </c>
      <c r="E176" s="60" t="s">
        <v>230</v>
      </c>
      <c r="F176" s="4" t="s">
        <v>77</v>
      </c>
      <c r="G176" s="66">
        <f>218-25</f>
        <v>193</v>
      </c>
      <c r="H176" s="5">
        <v>49.9</v>
      </c>
      <c r="I176" s="95"/>
      <c r="J176" s="97">
        <f t="shared" si="3"/>
        <v>9630.6999999999989</v>
      </c>
    </row>
    <row r="177" spans="1:14" ht="16.5" customHeight="1" thickBot="1" x14ac:dyDescent="0.3">
      <c r="A177" s="38" t="s">
        <v>204</v>
      </c>
      <c r="B177" s="39"/>
      <c r="C177" s="40"/>
      <c r="D177" s="41"/>
      <c r="E177" s="61"/>
      <c r="F177" s="42"/>
      <c r="G177" s="67">
        <f>SUM(G174:G176)</f>
        <v>216</v>
      </c>
      <c r="H177" s="43"/>
      <c r="I177" s="95">
        <f>G177</f>
        <v>216</v>
      </c>
      <c r="J177" s="96"/>
    </row>
    <row r="178" spans="1:14" ht="15.75" thickTop="1" x14ac:dyDescent="0.25">
      <c r="A178" s="108"/>
      <c r="B178" s="75" t="s">
        <v>150</v>
      </c>
      <c r="C178" s="21">
        <v>4251158729855</v>
      </c>
      <c r="D178" s="49" t="s">
        <v>210</v>
      </c>
      <c r="E178" s="60" t="s">
        <v>228</v>
      </c>
      <c r="F178" s="6" t="s">
        <v>170</v>
      </c>
      <c r="G178" s="65">
        <f>135-5</f>
        <v>130</v>
      </c>
      <c r="H178" s="3">
        <v>39.9</v>
      </c>
      <c r="I178" s="95"/>
      <c r="J178" s="97">
        <f t="shared" si="3"/>
        <v>5187</v>
      </c>
    </row>
    <row r="179" spans="1:14" x14ac:dyDescent="0.25">
      <c r="A179" s="109"/>
      <c r="B179" s="75" t="s">
        <v>151</v>
      </c>
      <c r="C179" s="21">
        <v>4251158729862</v>
      </c>
      <c r="D179" s="115" t="s">
        <v>216</v>
      </c>
      <c r="E179" s="60" t="s">
        <v>224</v>
      </c>
      <c r="F179" s="1" t="s">
        <v>170</v>
      </c>
      <c r="G179" s="65">
        <f>17-17</f>
        <v>0</v>
      </c>
      <c r="H179" s="3">
        <v>39.9</v>
      </c>
      <c r="I179" s="95"/>
      <c r="J179" s="97">
        <f t="shared" si="3"/>
        <v>0</v>
      </c>
    </row>
    <row r="180" spans="1:14" x14ac:dyDescent="0.25">
      <c r="A180" s="109"/>
      <c r="B180" s="75" t="s">
        <v>152</v>
      </c>
      <c r="C180" s="21">
        <v>4251158729893</v>
      </c>
      <c r="D180" s="115"/>
      <c r="E180" s="60" t="s">
        <v>230</v>
      </c>
      <c r="F180" s="1" t="s">
        <v>170</v>
      </c>
      <c r="G180" s="65">
        <f>1-1</f>
        <v>0</v>
      </c>
      <c r="H180" s="3">
        <v>39.9</v>
      </c>
      <c r="I180" s="95"/>
      <c r="J180" s="97">
        <f t="shared" si="3"/>
        <v>0</v>
      </c>
    </row>
    <row r="181" spans="1:14" x14ac:dyDescent="0.25">
      <c r="A181" s="109"/>
      <c r="B181" s="75" t="s">
        <v>153</v>
      </c>
      <c r="C181" s="21">
        <v>4251158729909</v>
      </c>
      <c r="D181" s="115" t="s">
        <v>220</v>
      </c>
      <c r="E181" s="60" t="s">
        <v>226</v>
      </c>
      <c r="F181" s="1" t="s">
        <v>170</v>
      </c>
      <c r="G181" s="65">
        <f>30-30</f>
        <v>0</v>
      </c>
      <c r="H181" s="3">
        <v>39.9</v>
      </c>
      <c r="I181" s="95"/>
      <c r="J181" s="97">
        <f t="shared" si="3"/>
        <v>0</v>
      </c>
    </row>
    <row r="182" spans="1:14" x14ac:dyDescent="0.25">
      <c r="A182" s="110"/>
      <c r="B182" s="76" t="s">
        <v>154</v>
      </c>
      <c r="C182" s="22">
        <v>4251158729916</v>
      </c>
      <c r="D182" s="116"/>
      <c r="E182" s="63" t="s">
        <v>227</v>
      </c>
      <c r="F182" s="4" t="s">
        <v>170</v>
      </c>
      <c r="G182" s="66">
        <f>64-20</f>
        <v>44</v>
      </c>
      <c r="H182" s="5">
        <v>39.9</v>
      </c>
      <c r="I182" s="95"/>
      <c r="J182" s="97">
        <f t="shared" si="3"/>
        <v>1755.6</v>
      </c>
    </row>
    <row r="183" spans="1:14" ht="15.75" thickBot="1" x14ac:dyDescent="0.3">
      <c r="A183" s="38" t="s">
        <v>204</v>
      </c>
      <c r="B183" s="39"/>
      <c r="C183" s="40"/>
      <c r="D183" s="41"/>
      <c r="E183" s="61"/>
      <c r="F183" s="42"/>
      <c r="G183" s="67">
        <f>SUM(G178:G182)</f>
        <v>174</v>
      </c>
      <c r="H183" s="43"/>
      <c r="I183" s="95">
        <f>G183</f>
        <v>174</v>
      </c>
      <c r="J183" s="97"/>
    </row>
    <row r="184" spans="1:14" ht="15.75" customHeight="1" thickTop="1" x14ac:dyDescent="0.25">
      <c r="A184" s="111"/>
      <c r="B184" s="1" t="s">
        <v>112</v>
      </c>
      <c r="C184" s="71">
        <v>4251158714561</v>
      </c>
      <c r="D184" s="117" t="s">
        <v>210</v>
      </c>
      <c r="E184" s="60" t="s">
        <v>228</v>
      </c>
      <c r="F184" s="6"/>
      <c r="G184" s="68">
        <f>27-5</f>
        <v>22</v>
      </c>
      <c r="H184" s="7">
        <v>39.9</v>
      </c>
      <c r="I184" s="95"/>
      <c r="J184" s="97">
        <f t="shared" si="3"/>
        <v>877.8</v>
      </c>
      <c r="L184" s="60"/>
      <c r="M184" s="1"/>
      <c r="N184" s="65"/>
    </row>
    <row r="185" spans="1:14" ht="15" customHeight="1" x14ac:dyDescent="0.25">
      <c r="A185" s="112"/>
      <c r="B185" s="1" t="s">
        <v>110</v>
      </c>
      <c r="C185" s="71">
        <v>4251158710877</v>
      </c>
      <c r="D185" s="118"/>
      <c r="E185" s="60" t="s">
        <v>224</v>
      </c>
      <c r="G185" s="65">
        <f>34-10</f>
        <v>24</v>
      </c>
      <c r="H185" s="3">
        <v>39.9</v>
      </c>
      <c r="I185" s="95"/>
      <c r="J185" s="97">
        <f t="shared" si="3"/>
        <v>957.59999999999991</v>
      </c>
      <c r="L185" s="60"/>
      <c r="M185" s="1"/>
      <c r="N185" s="65"/>
    </row>
    <row r="186" spans="1:14" ht="15" customHeight="1" x14ac:dyDescent="0.25">
      <c r="A186" s="112"/>
      <c r="B186" s="1" t="s">
        <v>109</v>
      </c>
      <c r="C186" s="71">
        <v>4251158710891</v>
      </c>
      <c r="D186" s="115" t="s">
        <v>215</v>
      </c>
      <c r="E186" s="60" t="s">
        <v>225</v>
      </c>
      <c r="G186" s="65">
        <f>21-21</f>
        <v>0</v>
      </c>
      <c r="H186" s="3">
        <v>39.9</v>
      </c>
      <c r="I186" s="95"/>
      <c r="J186" s="97">
        <f t="shared" si="3"/>
        <v>0</v>
      </c>
      <c r="L186" s="60"/>
      <c r="M186" s="1"/>
      <c r="N186" s="65"/>
    </row>
    <row r="187" spans="1:14" ht="15" customHeight="1" x14ac:dyDescent="0.25">
      <c r="A187" s="112"/>
      <c r="B187" s="1" t="s">
        <v>111</v>
      </c>
      <c r="C187" s="71">
        <v>4251158710907</v>
      </c>
      <c r="D187" s="115"/>
      <c r="E187" s="60" t="s">
        <v>230</v>
      </c>
      <c r="G187" s="65">
        <f>70-25-1</f>
        <v>44</v>
      </c>
      <c r="H187" s="3">
        <v>39.9</v>
      </c>
      <c r="I187" s="95"/>
      <c r="J187" s="97">
        <f t="shared" si="3"/>
        <v>1755.6</v>
      </c>
      <c r="L187" s="60"/>
      <c r="M187" s="1"/>
      <c r="N187" s="65"/>
    </row>
    <row r="188" spans="1:14" ht="15" customHeight="1" x14ac:dyDescent="0.25">
      <c r="A188" s="112"/>
      <c r="B188" s="73" t="s">
        <v>113</v>
      </c>
      <c r="C188" s="18">
        <v>4251158710914</v>
      </c>
      <c r="D188" s="115" t="s">
        <v>211</v>
      </c>
      <c r="E188" s="60" t="s">
        <v>226</v>
      </c>
      <c r="F188" s="1" t="s">
        <v>77</v>
      </c>
      <c r="G188" s="65">
        <f>51-25</f>
        <v>26</v>
      </c>
      <c r="H188" s="3">
        <v>39.9</v>
      </c>
      <c r="I188" s="95"/>
      <c r="J188" s="97">
        <f t="shared" si="3"/>
        <v>1037.3999999999999</v>
      </c>
    </row>
    <row r="189" spans="1:14" ht="18.75" customHeight="1" x14ac:dyDescent="0.25">
      <c r="A189" s="113"/>
      <c r="B189" s="74" t="s">
        <v>114</v>
      </c>
      <c r="C189" s="19">
        <v>4251158715094</v>
      </c>
      <c r="D189" s="116"/>
      <c r="E189" s="63" t="s">
        <v>227</v>
      </c>
      <c r="F189" s="4" t="s">
        <v>77</v>
      </c>
      <c r="G189" s="66">
        <f>21-21</f>
        <v>0</v>
      </c>
      <c r="H189" s="5">
        <v>39.9</v>
      </c>
      <c r="I189" s="95"/>
      <c r="J189" s="97">
        <f t="shared" si="3"/>
        <v>0</v>
      </c>
    </row>
    <row r="190" spans="1:14" ht="19.5" customHeight="1" thickBot="1" x14ac:dyDescent="0.3">
      <c r="A190" s="38" t="s">
        <v>204</v>
      </c>
      <c r="B190" s="39"/>
      <c r="C190" s="40"/>
      <c r="D190" s="41"/>
      <c r="E190" s="61"/>
      <c r="F190" s="42"/>
      <c r="G190" s="67">
        <f>SUM(G184:G189)</f>
        <v>116</v>
      </c>
      <c r="H190" s="43"/>
      <c r="I190" s="95">
        <f>G190</f>
        <v>116</v>
      </c>
      <c r="J190" s="97"/>
    </row>
    <row r="191" spans="1:14" ht="26.25" customHeight="1" thickTop="1" x14ac:dyDescent="0.25">
      <c r="A191" s="121"/>
      <c r="B191" s="8" t="s">
        <v>84</v>
      </c>
      <c r="C191" s="18">
        <v>4251158710631</v>
      </c>
      <c r="D191" s="48" t="s">
        <v>206</v>
      </c>
      <c r="E191" s="60" t="s">
        <v>229</v>
      </c>
      <c r="F191" s="1" t="s">
        <v>77</v>
      </c>
      <c r="G191" s="65">
        <f>125-25</f>
        <v>100</v>
      </c>
      <c r="H191" s="3">
        <v>49.9</v>
      </c>
      <c r="I191" s="95"/>
      <c r="J191" s="97">
        <f t="shared" si="3"/>
        <v>4990</v>
      </c>
    </row>
    <row r="192" spans="1:14" ht="26.25" customHeight="1" x14ac:dyDescent="0.25">
      <c r="A192" s="122"/>
      <c r="B192" s="8" t="s">
        <v>85</v>
      </c>
      <c r="C192" s="18">
        <v>4251158710655</v>
      </c>
      <c r="D192" s="25" t="s">
        <v>215</v>
      </c>
      <c r="E192" s="60" t="s">
        <v>230</v>
      </c>
      <c r="F192" s="1" t="s">
        <v>77</v>
      </c>
      <c r="G192" s="65">
        <f>7-7</f>
        <v>0</v>
      </c>
      <c r="H192" s="3">
        <v>49.9</v>
      </c>
      <c r="I192" s="95"/>
      <c r="J192" s="97">
        <f t="shared" si="3"/>
        <v>0</v>
      </c>
    </row>
    <row r="193" spans="1:10" ht="26.25" customHeight="1" x14ac:dyDescent="0.25">
      <c r="A193" s="122"/>
      <c r="B193" s="8" t="s">
        <v>86</v>
      </c>
      <c r="C193" s="18">
        <v>4251158710662</v>
      </c>
      <c r="D193" s="25" t="s">
        <v>211</v>
      </c>
      <c r="E193" s="60" t="s">
        <v>226</v>
      </c>
      <c r="F193" s="1" t="s">
        <v>77</v>
      </c>
      <c r="G193" s="65">
        <f>23-23</f>
        <v>0</v>
      </c>
      <c r="H193" s="3">
        <v>49.9</v>
      </c>
      <c r="I193" s="95"/>
      <c r="J193" s="97">
        <f t="shared" si="3"/>
        <v>0</v>
      </c>
    </row>
    <row r="194" spans="1:10" ht="15.75" thickBot="1" x14ac:dyDescent="0.3">
      <c r="A194" s="38" t="s">
        <v>204</v>
      </c>
      <c r="B194" s="39"/>
      <c r="C194" s="40"/>
      <c r="D194" s="41"/>
      <c r="E194" s="61"/>
      <c r="F194" s="42"/>
      <c r="G194" s="67">
        <f>SUM(G191:G193)</f>
        <v>100</v>
      </c>
      <c r="H194" s="43"/>
      <c r="I194" s="95">
        <f>G194</f>
        <v>100</v>
      </c>
      <c r="J194" s="97"/>
    </row>
    <row r="195" spans="1:10" ht="15.75" thickTop="1" x14ac:dyDescent="0.25">
      <c r="A195" s="108"/>
      <c r="B195" s="75" t="s">
        <v>194</v>
      </c>
      <c r="C195" s="21">
        <v>4251158715902</v>
      </c>
      <c r="D195" s="117" t="s">
        <v>210</v>
      </c>
      <c r="E195" s="60" t="s">
        <v>228</v>
      </c>
      <c r="F195" s="1" t="s">
        <v>170</v>
      </c>
      <c r="G195" s="65">
        <v>9</v>
      </c>
      <c r="H195" s="3">
        <v>39.9</v>
      </c>
      <c r="I195" s="95"/>
      <c r="J195" s="97">
        <f t="shared" si="3"/>
        <v>359.09999999999997</v>
      </c>
    </row>
    <row r="196" spans="1:10" x14ac:dyDescent="0.25">
      <c r="A196" s="109"/>
      <c r="B196" s="75" t="s">
        <v>195</v>
      </c>
      <c r="C196" s="21">
        <v>4251158715919</v>
      </c>
      <c r="D196" s="118"/>
      <c r="E196" s="60" t="s">
        <v>224</v>
      </c>
      <c r="F196" s="1" t="s">
        <v>170</v>
      </c>
      <c r="G196" s="65">
        <v>26</v>
      </c>
      <c r="H196" s="3">
        <v>39.9</v>
      </c>
      <c r="I196" s="95"/>
      <c r="J196" s="97">
        <f t="shared" si="3"/>
        <v>1037.3999999999999</v>
      </c>
    </row>
    <row r="197" spans="1:10" x14ac:dyDescent="0.25">
      <c r="A197" s="109"/>
      <c r="B197" s="75" t="s">
        <v>196</v>
      </c>
      <c r="C197" s="21">
        <v>4251158715926</v>
      </c>
      <c r="D197" s="115" t="s">
        <v>216</v>
      </c>
      <c r="E197" s="60" t="s">
        <v>229</v>
      </c>
      <c r="F197" s="1" t="s">
        <v>170</v>
      </c>
      <c r="G197" s="65">
        <v>13</v>
      </c>
      <c r="H197" s="3">
        <v>39.9</v>
      </c>
      <c r="I197" s="95"/>
      <c r="J197" s="97">
        <f t="shared" si="3"/>
        <v>518.69999999999993</v>
      </c>
    </row>
    <row r="198" spans="1:10" x14ac:dyDescent="0.25">
      <c r="A198" s="109"/>
      <c r="B198" s="75" t="s">
        <v>197</v>
      </c>
      <c r="C198" s="21">
        <v>4251158715933</v>
      </c>
      <c r="D198" s="115"/>
      <c r="E198" s="60" t="s">
        <v>225</v>
      </c>
      <c r="F198" s="1" t="s">
        <v>170</v>
      </c>
      <c r="G198" s="65">
        <v>23</v>
      </c>
      <c r="H198" s="3">
        <v>39.9</v>
      </c>
      <c r="I198" s="95"/>
      <c r="J198" s="97">
        <f t="shared" si="3"/>
        <v>917.69999999999993</v>
      </c>
    </row>
    <row r="199" spans="1:10" x14ac:dyDescent="0.25">
      <c r="A199" s="109"/>
      <c r="B199" s="75" t="s">
        <v>198</v>
      </c>
      <c r="C199" s="21">
        <v>4251158715940</v>
      </c>
      <c r="D199" s="115" t="s">
        <v>221</v>
      </c>
      <c r="E199" s="60" t="s">
        <v>230</v>
      </c>
      <c r="F199" s="1" t="s">
        <v>170</v>
      </c>
      <c r="G199" s="65">
        <v>47</v>
      </c>
      <c r="H199" s="3">
        <v>39.9</v>
      </c>
      <c r="I199" s="95"/>
      <c r="J199" s="97">
        <f t="shared" si="3"/>
        <v>1875.3</v>
      </c>
    </row>
    <row r="200" spans="1:10" x14ac:dyDescent="0.25">
      <c r="A200" s="109"/>
      <c r="B200" s="75" t="s">
        <v>199</v>
      </c>
      <c r="C200" s="21">
        <v>4251158715957</v>
      </c>
      <c r="D200" s="115"/>
      <c r="E200" s="60" t="s">
        <v>226</v>
      </c>
      <c r="F200" s="1" t="s">
        <v>170</v>
      </c>
      <c r="G200" s="65">
        <f>34-1</f>
        <v>33</v>
      </c>
      <c r="H200" s="3">
        <v>39.9</v>
      </c>
      <c r="I200" s="95"/>
      <c r="J200" s="97">
        <f t="shared" si="3"/>
        <v>1316.7</v>
      </c>
    </row>
    <row r="201" spans="1:10" ht="16.5" customHeight="1" x14ac:dyDescent="0.25">
      <c r="A201" s="110"/>
      <c r="B201" s="76" t="s">
        <v>200</v>
      </c>
      <c r="C201" s="22">
        <v>4251158715964</v>
      </c>
      <c r="D201" s="116"/>
      <c r="E201" s="63" t="s">
        <v>227</v>
      </c>
      <c r="F201" s="4" t="s">
        <v>170</v>
      </c>
      <c r="G201" s="66">
        <v>2</v>
      </c>
      <c r="H201" s="5">
        <v>39.9</v>
      </c>
      <c r="I201" s="95"/>
      <c r="J201" s="97">
        <f t="shared" si="3"/>
        <v>79.8</v>
      </c>
    </row>
    <row r="202" spans="1:10" ht="18" customHeight="1" thickBot="1" x14ac:dyDescent="0.3">
      <c r="A202" s="38" t="s">
        <v>204</v>
      </c>
      <c r="B202" s="39"/>
      <c r="C202" s="40"/>
      <c r="D202" s="41"/>
      <c r="E202" s="61"/>
      <c r="F202" s="42"/>
      <c r="G202" s="67">
        <f>SUM(G195:G201)</f>
        <v>153</v>
      </c>
      <c r="H202" s="43"/>
      <c r="I202" s="95">
        <f>G202</f>
        <v>153</v>
      </c>
      <c r="J202" s="97"/>
    </row>
    <row r="203" spans="1:10" ht="16.5" customHeight="1" thickTop="1" x14ac:dyDescent="0.25">
      <c r="A203" s="53"/>
      <c r="B203" s="83"/>
      <c r="C203" s="50"/>
      <c r="D203" s="52" t="s">
        <v>210</v>
      </c>
      <c r="E203" s="62"/>
      <c r="F203" s="30"/>
      <c r="G203" s="70"/>
      <c r="H203" s="51"/>
      <c r="I203" s="95"/>
      <c r="J203" s="97"/>
    </row>
    <row r="204" spans="1:10" ht="37.5" customHeight="1" x14ac:dyDescent="0.25">
      <c r="A204" s="84"/>
      <c r="B204" s="73" t="s">
        <v>134</v>
      </c>
      <c r="C204" s="18">
        <v>4251158710822</v>
      </c>
      <c r="D204" s="25" t="s">
        <v>215</v>
      </c>
      <c r="E204" s="60" t="s">
        <v>224</v>
      </c>
      <c r="F204" s="1" t="s">
        <v>77</v>
      </c>
      <c r="G204" s="65">
        <v>35</v>
      </c>
      <c r="H204" s="3">
        <v>39.9</v>
      </c>
      <c r="I204" s="95"/>
      <c r="J204" s="97">
        <f t="shared" si="3"/>
        <v>1396.5</v>
      </c>
    </row>
    <row r="205" spans="1:10" ht="39" customHeight="1" x14ac:dyDescent="0.25">
      <c r="A205" s="85"/>
      <c r="B205" s="86" t="s">
        <v>135</v>
      </c>
      <c r="C205" s="19">
        <v>4251158710860</v>
      </c>
      <c r="D205" s="26" t="s">
        <v>222</v>
      </c>
      <c r="E205" s="63" t="s">
        <v>226</v>
      </c>
      <c r="F205" s="63" t="s">
        <v>77</v>
      </c>
      <c r="G205" s="66">
        <v>57</v>
      </c>
      <c r="H205" s="56">
        <v>39.9</v>
      </c>
      <c r="I205" s="95"/>
      <c r="J205" s="97">
        <f t="shared" si="3"/>
        <v>2274.2999999999997</v>
      </c>
    </row>
    <row r="206" spans="1:10" ht="18.75" customHeight="1" thickBot="1" x14ac:dyDescent="0.3">
      <c r="A206" s="38" t="s">
        <v>204</v>
      </c>
      <c r="B206" s="39"/>
      <c r="C206" s="40"/>
      <c r="D206" s="41"/>
      <c r="E206" s="61"/>
      <c r="F206" s="42"/>
      <c r="G206" s="67">
        <f>SUM(G204:G205)</f>
        <v>92</v>
      </c>
      <c r="H206" s="43"/>
      <c r="I206" s="95">
        <f>G206</f>
        <v>92</v>
      </c>
      <c r="J206" s="97"/>
    </row>
    <row r="207" spans="1:10" ht="15.75" thickTop="1" x14ac:dyDescent="0.25">
      <c r="A207" s="109"/>
      <c r="B207" s="75" t="s">
        <v>55</v>
      </c>
      <c r="C207" s="21">
        <v>4251158715629</v>
      </c>
      <c r="D207" s="117" t="s">
        <v>210</v>
      </c>
      <c r="E207" s="60" t="s">
        <v>228</v>
      </c>
      <c r="F207" s="1" t="s">
        <v>36</v>
      </c>
      <c r="G207" s="65">
        <v>12</v>
      </c>
      <c r="H207" s="3">
        <v>39.9</v>
      </c>
      <c r="I207" s="95"/>
      <c r="J207" s="97">
        <f t="shared" si="3"/>
        <v>478.79999999999995</v>
      </c>
    </row>
    <row r="208" spans="1:10" x14ac:dyDescent="0.25">
      <c r="A208" s="109"/>
      <c r="B208" s="75" t="s">
        <v>56</v>
      </c>
      <c r="C208" s="21">
        <v>4251158715636</v>
      </c>
      <c r="D208" s="118"/>
      <c r="E208" s="60" t="s">
        <v>224</v>
      </c>
      <c r="F208" s="1" t="s">
        <v>36</v>
      </c>
      <c r="G208" s="65">
        <v>11</v>
      </c>
      <c r="H208" s="3">
        <v>39.9</v>
      </c>
      <c r="I208" s="95"/>
      <c r="J208" s="97">
        <f t="shared" si="3"/>
        <v>438.9</v>
      </c>
    </row>
    <row r="209" spans="1:10" x14ac:dyDescent="0.25">
      <c r="A209" s="109"/>
      <c r="B209" s="75" t="s">
        <v>57</v>
      </c>
      <c r="C209" s="21">
        <v>4251158715643</v>
      </c>
      <c r="D209" s="115" t="s">
        <v>215</v>
      </c>
      <c r="E209" s="60" t="s">
        <v>229</v>
      </c>
      <c r="F209" s="1" t="s">
        <v>36</v>
      </c>
      <c r="G209" s="65">
        <v>20</v>
      </c>
      <c r="H209" s="3">
        <v>39.9</v>
      </c>
      <c r="I209" s="95"/>
      <c r="J209" s="97">
        <f t="shared" si="3"/>
        <v>798</v>
      </c>
    </row>
    <row r="210" spans="1:10" x14ac:dyDescent="0.25">
      <c r="A210" s="109"/>
      <c r="B210" s="75" t="s">
        <v>58</v>
      </c>
      <c r="C210" s="21">
        <v>4251158715650</v>
      </c>
      <c r="D210" s="115"/>
      <c r="E210" s="60" t="s">
        <v>225</v>
      </c>
      <c r="F210" s="1" t="s">
        <v>36</v>
      </c>
      <c r="G210" s="65">
        <v>7</v>
      </c>
      <c r="H210" s="3">
        <v>39.9</v>
      </c>
      <c r="I210" s="95"/>
      <c r="J210" s="97">
        <f t="shared" si="3"/>
        <v>279.3</v>
      </c>
    </row>
    <row r="211" spans="1:10" x14ac:dyDescent="0.25">
      <c r="A211" s="109"/>
      <c r="B211" s="75" t="s">
        <v>59</v>
      </c>
      <c r="C211" s="21">
        <v>4251158715667</v>
      </c>
      <c r="D211" s="115" t="s">
        <v>221</v>
      </c>
      <c r="E211" s="60" t="s">
        <v>230</v>
      </c>
      <c r="F211" s="1" t="s">
        <v>36</v>
      </c>
      <c r="G211" s="65">
        <v>4</v>
      </c>
      <c r="H211" s="3">
        <v>39.9</v>
      </c>
      <c r="I211" s="95"/>
      <c r="J211" s="97">
        <f t="shared" si="3"/>
        <v>159.6</v>
      </c>
    </row>
    <row r="212" spans="1:10" x14ac:dyDescent="0.25">
      <c r="A212" s="109"/>
      <c r="B212" s="75" t="s">
        <v>60</v>
      </c>
      <c r="C212" s="21">
        <v>4251158715674</v>
      </c>
      <c r="D212" s="115"/>
      <c r="E212" s="60" t="s">
        <v>226</v>
      </c>
      <c r="F212" s="1" t="s">
        <v>36</v>
      </c>
      <c r="G212" s="65">
        <v>1</v>
      </c>
      <c r="H212" s="3">
        <v>39.9</v>
      </c>
      <c r="I212" s="95"/>
      <c r="J212" s="97">
        <f t="shared" si="3"/>
        <v>39.9</v>
      </c>
    </row>
    <row r="213" spans="1:10" ht="15.75" customHeight="1" x14ac:dyDescent="0.25">
      <c r="A213" s="110"/>
      <c r="B213" s="76" t="s">
        <v>61</v>
      </c>
      <c r="C213" s="22">
        <v>4251158715681</v>
      </c>
      <c r="D213" s="116"/>
      <c r="E213" s="63" t="s">
        <v>227</v>
      </c>
      <c r="F213" s="4" t="s">
        <v>36</v>
      </c>
      <c r="G213" s="66">
        <v>3</v>
      </c>
      <c r="H213" s="5">
        <v>39.9</v>
      </c>
      <c r="I213" s="95"/>
      <c r="J213" s="97">
        <f t="shared" si="3"/>
        <v>119.69999999999999</v>
      </c>
    </row>
    <row r="214" spans="1:10" ht="16.5" customHeight="1" thickBot="1" x14ac:dyDescent="0.3">
      <c r="A214" s="38" t="s">
        <v>204</v>
      </c>
      <c r="B214" s="39"/>
      <c r="C214" s="40"/>
      <c r="D214" s="41"/>
      <c r="E214" s="61"/>
      <c r="F214" s="42"/>
      <c r="G214" s="67">
        <f>SUM(G207:G213)</f>
        <v>58</v>
      </c>
      <c r="H214" s="43"/>
      <c r="I214" s="95">
        <f>G214</f>
        <v>58</v>
      </c>
      <c r="J214" s="97"/>
    </row>
    <row r="215" spans="1:10" ht="18.75" customHeight="1" thickTop="1" x14ac:dyDescent="0.25">
      <c r="A215" s="111"/>
      <c r="B215" s="1" t="s">
        <v>185</v>
      </c>
      <c r="C215" s="71">
        <v>4251158714479</v>
      </c>
      <c r="D215" s="48" t="s">
        <v>210</v>
      </c>
      <c r="E215" s="60" t="s">
        <v>228</v>
      </c>
      <c r="F215" s="6"/>
      <c r="G215" s="68">
        <v>15</v>
      </c>
      <c r="H215" s="7">
        <v>39.9</v>
      </c>
      <c r="I215" s="95"/>
      <c r="J215" s="97">
        <f t="shared" si="3"/>
        <v>598.5</v>
      </c>
    </row>
    <row r="216" spans="1:10" ht="18.75" customHeight="1" x14ac:dyDescent="0.25">
      <c r="A216" s="112"/>
      <c r="B216" s="1" t="s">
        <v>183</v>
      </c>
      <c r="C216" s="71">
        <v>4251158711348</v>
      </c>
      <c r="D216" s="115" t="s">
        <v>216</v>
      </c>
      <c r="E216" s="60" t="s">
        <v>225</v>
      </c>
      <c r="G216" s="65">
        <v>10</v>
      </c>
      <c r="H216" s="3">
        <v>39.9</v>
      </c>
      <c r="I216" s="95"/>
      <c r="J216" s="97">
        <f t="shared" si="3"/>
        <v>399</v>
      </c>
    </row>
    <row r="217" spans="1:10" ht="18.75" customHeight="1" x14ac:dyDescent="0.25">
      <c r="A217" s="112"/>
      <c r="B217" s="1" t="s">
        <v>184</v>
      </c>
      <c r="C217" s="71">
        <v>4251158711355</v>
      </c>
      <c r="D217" s="115"/>
      <c r="E217" s="60" t="s">
        <v>230</v>
      </c>
      <c r="G217" s="65">
        <v>6</v>
      </c>
      <c r="H217" s="3">
        <v>39.9</v>
      </c>
      <c r="I217" s="95"/>
      <c r="J217" s="97">
        <f t="shared" si="3"/>
        <v>239.39999999999998</v>
      </c>
    </row>
    <row r="218" spans="1:10" ht="18.75" customHeight="1" x14ac:dyDescent="0.25">
      <c r="A218" s="113"/>
      <c r="B218" s="74" t="s">
        <v>186</v>
      </c>
      <c r="C218" s="19">
        <v>4251158711362</v>
      </c>
      <c r="D218" s="26" t="s">
        <v>211</v>
      </c>
      <c r="E218" s="60" t="s">
        <v>226</v>
      </c>
      <c r="F218" s="4" t="s">
        <v>170</v>
      </c>
      <c r="G218" s="66">
        <v>13</v>
      </c>
      <c r="H218" s="5">
        <v>39.9</v>
      </c>
      <c r="I218" s="95"/>
      <c r="J218" s="97">
        <f t="shared" si="3"/>
        <v>518.69999999999993</v>
      </c>
    </row>
    <row r="219" spans="1:10" ht="15.75" thickBot="1" x14ac:dyDescent="0.3">
      <c r="A219" s="38" t="s">
        <v>204</v>
      </c>
      <c r="B219" s="39"/>
      <c r="C219" s="40"/>
      <c r="D219" s="41"/>
      <c r="E219" s="61"/>
      <c r="F219" s="42"/>
      <c r="G219" s="67">
        <f>SUM(G215:G218)</f>
        <v>44</v>
      </c>
      <c r="H219" s="43"/>
      <c r="I219" s="95">
        <f>G219</f>
        <v>44</v>
      </c>
      <c r="J219" s="97"/>
    </row>
    <row r="220" spans="1:10" ht="15.75" thickTop="1" x14ac:dyDescent="0.25">
      <c r="A220" s="111"/>
      <c r="B220" s="1" t="s">
        <v>106</v>
      </c>
      <c r="C220" s="71">
        <v>4251158700298</v>
      </c>
      <c r="D220" s="49" t="s">
        <v>206</v>
      </c>
      <c r="E220" s="60" t="s">
        <v>224</v>
      </c>
      <c r="F220" s="6"/>
      <c r="G220" s="68">
        <f>4-4</f>
        <v>0</v>
      </c>
      <c r="H220" s="7">
        <v>49.9</v>
      </c>
      <c r="I220" s="95"/>
      <c r="J220" s="97"/>
    </row>
    <row r="221" spans="1:10" x14ac:dyDescent="0.25">
      <c r="A221" s="112"/>
      <c r="B221" s="1" t="s">
        <v>105</v>
      </c>
      <c r="C221" s="71">
        <v>4251158700304</v>
      </c>
      <c r="D221" s="115" t="s">
        <v>215</v>
      </c>
      <c r="E221" s="60" t="s">
        <v>229</v>
      </c>
      <c r="G221" s="65">
        <f>6-6</f>
        <v>0</v>
      </c>
      <c r="H221" s="3">
        <v>49.9</v>
      </c>
      <c r="I221" s="95"/>
      <c r="J221" s="97"/>
    </row>
    <row r="222" spans="1:10" x14ac:dyDescent="0.25">
      <c r="A222" s="112"/>
      <c r="B222" s="1" t="s">
        <v>104</v>
      </c>
      <c r="C222" s="71">
        <v>4251158700311</v>
      </c>
      <c r="D222" s="115"/>
      <c r="E222" s="60" t="s">
        <v>225</v>
      </c>
      <c r="G222" s="65">
        <f>10-10</f>
        <v>0</v>
      </c>
      <c r="H222" s="3">
        <v>49.9</v>
      </c>
      <c r="I222" s="95"/>
      <c r="J222" s="97"/>
    </row>
    <row r="223" spans="1:10" x14ac:dyDescent="0.25">
      <c r="A223" s="112"/>
      <c r="B223" s="73" t="s">
        <v>107</v>
      </c>
      <c r="C223" s="18">
        <v>4251158700328</v>
      </c>
      <c r="D223" s="115" t="s">
        <v>217</v>
      </c>
      <c r="E223" s="60" t="s">
        <v>230</v>
      </c>
      <c r="F223" s="1" t="s">
        <v>77</v>
      </c>
      <c r="G223" s="65">
        <f>33-20</f>
        <v>13</v>
      </c>
      <c r="H223" s="3">
        <v>49.9</v>
      </c>
      <c r="I223" s="95"/>
      <c r="J223" s="97">
        <f t="shared" ref="J223:J224" si="4">G223*H223</f>
        <v>648.69999999999993</v>
      </c>
    </row>
    <row r="224" spans="1:10" x14ac:dyDescent="0.25">
      <c r="A224" s="113"/>
      <c r="B224" s="74" t="s">
        <v>108</v>
      </c>
      <c r="C224" s="19">
        <v>4251158702445</v>
      </c>
      <c r="D224" s="116"/>
      <c r="E224" s="60" t="s">
        <v>226</v>
      </c>
      <c r="F224" s="4" t="s">
        <v>77</v>
      </c>
      <c r="G224" s="66">
        <f>44-20</f>
        <v>24</v>
      </c>
      <c r="H224" s="5">
        <v>49.9</v>
      </c>
      <c r="I224" s="95"/>
      <c r="J224" s="97">
        <f t="shared" si="4"/>
        <v>1197.5999999999999</v>
      </c>
    </row>
    <row r="225" spans="1:11" ht="15.75" thickBot="1" x14ac:dyDescent="0.3">
      <c r="A225" s="38" t="s">
        <v>204</v>
      </c>
      <c r="B225" s="39"/>
      <c r="C225" s="40"/>
      <c r="D225" s="41"/>
      <c r="E225" s="61"/>
      <c r="F225" s="42"/>
      <c r="G225" s="67">
        <f>SUM(G220:G224)</f>
        <v>37</v>
      </c>
      <c r="H225" s="43"/>
      <c r="I225" s="95">
        <f>G225</f>
        <v>37</v>
      </c>
      <c r="J225" s="97"/>
    </row>
    <row r="226" spans="1:11" ht="7.5" customHeight="1" thickTop="1" x14ac:dyDescent="0.25">
      <c r="J226" s="29"/>
    </row>
    <row r="227" spans="1:11" s="9" customFormat="1" ht="18.75" customHeight="1" thickTop="1" x14ac:dyDescent="0.25">
      <c r="A227" s="98" t="s">
        <v>201</v>
      </c>
      <c r="B227" s="99"/>
      <c r="C227" s="100"/>
      <c r="D227" s="101" t="s">
        <v>231</v>
      </c>
      <c r="E227" s="102">
        <f>J227/G227</f>
        <v>46.647620353323667</v>
      </c>
      <c r="F227" s="99"/>
      <c r="G227" s="103">
        <f>SUM(I227)</f>
        <v>25529</v>
      </c>
      <c r="H227" s="104"/>
      <c r="I227" s="105">
        <f>SUM(I2:I226)</f>
        <v>25529</v>
      </c>
      <c r="J227" s="102">
        <f>SUM(J3:J224)</f>
        <v>1190867.0999999999</v>
      </c>
      <c r="K227" s="13"/>
    </row>
    <row r="228" spans="1:11" s="14" customFormat="1" ht="15" customHeight="1" x14ac:dyDescent="0.25">
      <c r="B228" s="15"/>
      <c r="C228" s="23"/>
      <c r="D228" s="27"/>
      <c r="E228" s="64"/>
      <c r="F228" s="15"/>
      <c r="G228" s="70"/>
      <c r="H228" s="16"/>
      <c r="I228" s="47"/>
      <c r="J228" s="31"/>
      <c r="K228" s="17"/>
    </row>
    <row r="229" spans="1:11" s="14" customFormat="1" ht="15" customHeight="1" x14ac:dyDescent="0.25">
      <c r="B229" s="15"/>
      <c r="C229" s="23"/>
      <c r="D229" s="27"/>
      <c r="E229" s="64"/>
      <c r="F229" s="15"/>
      <c r="G229" s="70"/>
      <c r="H229" s="16"/>
      <c r="I229" s="47"/>
      <c r="J229" s="31"/>
      <c r="K229" s="17"/>
    </row>
    <row r="230" spans="1:11" ht="19.5" customHeight="1" x14ac:dyDescent="0.25">
      <c r="A230" s="120"/>
      <c r="B230" s="120"/>
      <c r="C230" s="120"/>
      <c r="D230" s="120"/>
      <c r="E230" s="120"/>
      <c r="F230" s="120"/>
      <c r="G230" s="120"/>
      <c r="H230" s="120"/>
    </row>
    <row r="231" spans="1:11" ht="19.5" customHeight="1" x14ac:dyDescent="0.25">
      <c r="A231" s="119" t="s">
        <v>232</v>
      </c>
      <c r="B231" s="119"/>
      <c r="C231" s="119"/>
      <c r="D231" s="119"/>
      <c r="E231" s="119"/>
      <c r="F231" s="119"/>
      <c r="G231" s="119"/>
      <c r="H231" s="119"/>
      <c r="I231" s="95"/>
      <c r="J231" s="96"/>
    </row>
    <row r="232" spans="1:11" ht="409.5" customHeight="1" x14ac:dyDescent="0.25"/>
    <row r="243" spans="2:5" ht="15" customHeight="1" x14ac:dyDescent="0.25">
      <c r="B243" s="106"/>
      <c r="C243" s="106"/>
      <c r="D243" s="106"/>
      <c r="E243" s="106"/>
    </row>
    <row r="244" spans="2:5" ht="15" customHeight="1" x14ac:dyDescent="0.25">
      <c r="B244" s="106"/>
      <c r="C244" s="106"/>
      <c r="D244" s="106"/>
      <c r="E244" s="106"/>
    </row>
  </sheetData>
  <mergeCells count="113">
    <mergeCell ref="D184:D185"/>
    <mergeCell ref="D157:D158"/>
    <mergeCell ref="D160:D161"/>
    <mergeCell ref="D162:D163"/>
    <mergeCell ref="D164:D166"/>
    <mergeCell ref="D168:D169"/>
    <mergeCell ref="A220:A224"/>
    <mergeCell ref="D221:D222"/>
    <mergeCell ref="D223:D224"/>
    <mergeCell ref="D207:D208"/>
    <mergeCell ref="D209:D210"/>
    <mergeCell ref="D211:D213"/>
    <mergeCell ref="D216:D217"/>
    <mergeCell ref="D199:D201"/>
    <mergeCell ref="D186:D187"/>
    <mergeCell ref="D188:D189"/>
    <mergeCell ref="D195:D196"/>
    <mergeCell ref="D197:D198"/>
    <mergeCell ref="D155:D156"/>
    <mergeCell ref="D131:D132"/>
    <mergeCell ref="D133:D135"/>
    <mergeCell ref="D137:D138"/>
    <mergeCell ref="D139:D140"/>
    <mergeCell ref="D141:D143"/>
    <mergeCell ref="D170:D171"/>
    <mergeCell ref="D179:D180"/>
    <mergeCell ref="D181:D182"/>
    <mergeCell ref="D13:D14"/>
    <mergeCell ref="D15:D17"/>
    <mergeCell ref="D19:D20"/>
    <mergeCell ref="D21:D22"/>
    <mergeCell ref="D23:D25"/>
    <mergeCell ref="D84:D85"/>
    <mergeCell ref="D86:D87"/>
    <mergeCell ref="D89:D90"/>
    <mergeCell ref="D117:D119"/>
    <mergeCell ref="D91:D92"/>
    <mergeCell ref="D69:D70"/>
    <mergeCell ref="D71:D73"/>
    <mergeCell ref="D75:D76"/>
    <mergeCell ref="D39:D41"/>
    <mergeCell ref="D43:D44"/>
    <mergeCell ref="D45:D46"/>
    <mergeCell ref="D47:D49"/>
    <mergeCell ref="D51:D52"/>
    <mergeCell ref="D27:D28"/>
    <mergeCell ref="D29:D30"/>
    <mergeCell ref="D31:D33"/>
    <mergeCell ref="D35:D36"/>
    <mergeCell ref="D37:D38"/>
    <mergeCell ref="D79:D81"/>
    <mergeCell ref="A35:A41"/>
    <mergeCell ref="A59:A65"/>
    <mergeCell ref="A215:A218"/>
    <mergeCell ref="A168:A172"/>
    <mergeCell ref="A75:A81"/>
    <mergeCell ref="A97:A103"/>
    <mergeCell ref="A160:A166"/>
    <mergeCell ref="A89:A95"/>
    <mergeCell ref="A67:A73"/>
    <mergeCell ref="A137:A143"/>
    <mergeCell ref="A83:A87"/>
    <mergeCell ref="A207:A213"/>
    <mergeCell ref="A145:A151"/>
    <mergeCell ref="A105:A111"/>
    <mergeCell ref="D101:D103"/>
    <mergeCell ref="D77:D78"/>
    <mergeCell ref="A231:H231"/>
    <mergeCell ref="A230:H230"/>
    <mergeCell ref="A184:A189"/>
    <mergeCell ref="A121:A127"/>
    <mergeCell ref="A191:A193"/>
    <mergeCell ref="A174:A176"/>
    <mergeCell ref="A43:A49"/>
    <mergeCell ref="D63:D65"/>
    <mergeCell ref="D67:D68"/>
    <mergeCell ref="D121:D122"/>
    <mergeCell ref="D123:D124"/>
    <mergeCell ref="D125:D127"/>
    <mergeCell ref="D129:D130"/>
    <mergeCell ref="D105:D106"/>
    <mergeCell ref="D107:D108"/>
    <mergeCell ref="D109:D111"/>
    <mergeCell ref="D113:D114"/>
    <mergeCell ref="D115:D116"/>
    <mergeCell ref="D145:D146"/>
    <mergeCell ref="D147:D148"/>
    <mergeCell ref="D149:D151"/>
    <mergeCell ref="D153:D154"/>
    <mergeCell ref="B243:E243"/>
    <mergeCell ref="B244:E244"/>
    <mergeCell ref="B1:H1"/>
    <mergeCell ref="A195:A201"/>
    <mergeCell ref="A153:A158"/>
    <mergeCell ref="A27:A33"/>
    <mergeCell ref="A113:A119"/>
    <mergeCell ref="A129:A135"/>
    <mergeCell ref="A178:A182"/>
    <mergeCell ref="A51:A57"/>
    <mergeCell ref="A11:A17"/>
    <mergeCell ref="A3:A9"/>
    <mergeCell ref="D53:D54"/>
    <mergeCell ref="D55:D57"/>
    <mergeCell ref="D59:D60"/>
    <mergeCell ref="D61:D62"/>
    <mergeCell ref="D3:D4"/>
    <mergeCell ref="D5:D6"/>
    <mergeCell ref="D7:D9"/>
    <mergeCell ref="D11:D12"/>
    <mergeCell ref="A19:A25"/>
    <mergeCell ref="D93:D95"/>
    <mergeCell ref="D97:D98"/>
    <mergeCell ref="D99:D100"/>
  </mergeCells>
  <conditionalFormatting sqref="A230 B227:C229 B232:C242 B2:C2 B245:C1048576 B243:B244">
    <cfRule type="duplicateValues" dxfId="431" priority="617"/>
    <cfRule type="duplicateValues" dxfId="430" priority="618"/>
    <cfRule type="duplicateValues" dxfId="429" priority="619"/>
  </conditionalFormatting>
  <conditionalFormatting sqref="B27">
    <cfRule type="duplicateValues" dxfId="428" priority="37"/>
    <cfRule type="duplicateValues" dxfId="427" priority="39"/>
    <cfRule type="duplicateValues" dxfId="426" priority="38"/>
  </conditionalFormatting>
  <conditionalFormatting sqref="B28">
    <cfRule type="duplicateValues" dxfId="425" priority="36"/>
    <cfRule type="duplicateValues" dxfId="424" priority="35"/>
    <cfRule type="duplicateValues" dxfId="423" priority="34"/>
  </conditionalFormatting>
  <conditionalFormatting sqref="B29">
    <cfRule type="duplicateValues" dxfId="422" priority="33"/>
    <cfRule type="duplicateValues" dxfId="421" priority="32"/>
    <cfRule type="duplicateValues" dxfId="420" priority="31"/>
  </conditionalFormatting>
  <conditionalFormatting sqref="B30">
    <cfRule type="duplicateValues" dxfId="419" priority="29"/>
    <cfRule type="duplicateValues" dxfId="418" priority="30"/>
    <cfRule type="duplicateValues" dxfId="417" priority="28"/>
  </conditionalFormatting>
  <conditionalFormatting sqref="B31">
    <cfRule type="duplicateValues" dxfId="416" priority="26"/>
    <cfRule type="duplicateValues" dxfId="415" priority="25"/>
    <cfRule type="duplicateValues" dxfId="414" priority="27"/>
  </conditionalFormatting>
  <conditionalFormatting sqref="B2:C2">
    <cfRule type="duplicateValues" dxfId="413" priority="810"/>
    <cfRule type="duplicateValues" dxfId="412" priority="809"/>
    <cfRule type="duplicateValues" dxfId="411" priority="811"/>
    <cfRule type="duplicateValues" dxfId="410" priority="800"/>
  </conditionalFormatting>
  <conditionalFormatting sqref="B3:C9">
    <cfRule type="duplicateValues" dxfId="409" priority="3152"/>
    <cfRule type="duplicateValues" dxfId="408" priority="3150"/>
    <cfRule type="duplicateValues" dxfId="407" priority="3151"/>
    <cfRule type="duplicateValues" dxfId="406" priority="3155"/>
    <cfRule type="duplicateValues" dxfId="405" priority="3154"/>
    <cfRule type="duplicateValues" dxfId="404" priority="3153"/>
    <cfRule type="duplicateValues" dxfId="403" priority="3156"/>
  </conditionalFormatting>
  <conditionalFormatting sqref="B10:C10">
    <cfRule type="duplicateValues" dxfId="402" priority="226"/>
    <cfRule type="duplicateValues" dxfId="401" priority="228"/>
    <cfRule type="duplicateValues" dxfId="400" priority="225"/>
    <cfRule type="duplicateValues" dxfId="399" priority="224"/>
    <cfRule type="duplicateValues" dxfId="398" priority="223"/>
    <cfRule type="duplicateValues" dxfId="397" priority="227"/>
    <cfRule type="duplicateValues" dxfId="396" priority="222"/>
    <cfRule type="duplicateValues" dxfId="395" priority="221"/>
  </conditionalFormatting>
  <conditionalFormatting sqref="B11:C17">
    <cfRule type="duplicateValues" dxfId="394" priority="497"/>
    <cfRule type="duplicateValues" dxfId="393" priority="502"/>
    <cfRule type="duplicateValues" dxfId="392" priority="499"/>
    <cfRule type="duplicateValues" dxfId="391" priority="496"/>
    <cfRule type="duplicateValues" dxfId="390" priority="500"/>
    <cfRule type="duplicateValues" dxfId="389" priority="498"/>
    <cfRule type="duplicateValues" dxfId="388" priority="501"/>
  </conditionalFormatting>
  <conditionalFormatting sqref="B18:C18">
    <cfRule type="duplicateValues" dxfId="387" priority="230"/>
    <cfRule type="duplicateValues" dxfId="386" priority="229"/>
    <cfRule type="duplicateValues" dxfId="385" priority="235"/>
    <cfRule type="duplicateValues" dxfId="384" priority="236"/>
    <cfRule type="duplicateValues" dxfId="383" priority="231"/>
    <cfRule type="duplicateValues" dxfId="382" priority="232"/>
    <cfRule type="duplicateValues" dxfId="381" priority="234"/>
    <cfRule type="duplicateValues" dxfId="380" priority="233"/>
  </conditionalFormatting>
  <conditionalFormatting sqref="B19:C25">
    <cfRule type="duplicateValues" dxfId="379" priority="2966"/>
    <cfRule type="duplicateValues" dxfId="378" priority="2965"/>
    <cfRule type="duplicateValues" dxfId="377" priority="2963"/>
    <cfRule type="duplicateValues" dxfId="376" priority="2964"/>
    <cfRule type="duplicateValues" dxfId="375" priority="2969"/>
    <cfRule type="duplicateValues" dxfId="374" priority="2968"/>
    <cfRule type="duplicateValues" dxfId="373" priority="2967"/>
  </conditionalFormatting>
  <conditionalFormatting sqref="B26:C26">
    <cfRule type="duplicateValues" dxfId="372" priority="345"/>
    <cfRule type="duplicateValues" dxfId="371" priority="344"/>
    <cfRule type="duplicateValues" dxfId="370" priority="343"/>
    <cfRule type="duplicateValues" dxfId="369" priority="342"/>
    <cfRule type="duplicateValues" dxfId="368" priority="341"/>
    <cfRule type="duplicateValues" dxfId="367" priority="346"/>
    <cfRule type="duplicateValues" dxfId="366" priority="348"/>
    <cfRule type="duplicateValues" dxfId="365" priority="347"/>
  </conditionalFormatting>
  <conditionalFormatting sqref="B34:C34">
    <cfRule type="duplicateValues" dxfId="364" priority="252"/>
    <cfRule type="duplicateValues" dxfId="363" priority="251"/>
    <cfRule type="duplicateValues" dxfId="362" priority="250"/>
    <cfRule type="duplicateValues" dxfId="361" priority="249"/>
    <cfRule type="duplicateValues" dxfId="360" priority="248"/>
    <cfRule type="duplicateValues" dxfId="359" priority="247"/>
    <cfRule type="duplicateValues" dxfId="358" priority="245"/>
    <cfRule type="duplicateValues" dxfId="357" priority="246"/>
  </conditionalFormatting>
  <conditionalFormatting sqref="B42:C42">
    <cfRule type="duplicateValues" dxfId="356" priority="153"/>
    <cfRule type="duplicateValues" dxfId="355" priority="152"/>
    <cfRule type="duplicateValues" dxfId="354" priority="154"/>
    <cfRule type="duplicateValues" dxfId="353" priority="155"/>
    <cfRule type="duplicateValues" dxfId="352" priority="156"/>
    <cfRule type="duplicateValues" dxfId="351" priority="149"/>
    <cfRule type="duplicateValues" dxfId="350" priority="150"/>
    <cfRule type="duplicateValues" dxfId="349" priority="151"/>
  </conditionalFormatting>
  <conditionalFormatting sqref="B50:C50">
    <cfRule type="duplicateValues" dxfId="348" priority="308"/>
    <cfRule type="duplicateValues" dxfId="347" priority="307"/>
    <cfRule type="duplicateValues" dxfId="346" priority="306"/>
    <cfRule type="duplicateValues" dxfId="345" priority="305"/>
    <cfRule type="duplicateValues" dxfId="344" priority="304"/>
    <cfRule type="duplicateValues" dxfId="343" priority="303"/>
    <cfRule type="duplicateValues" dxfId="342" priority="302"/>
    <cfRule type="duplicateValues" dxfId="341" priority="301"/>
  </conditionalFormatting>
  <conditionalFormatting sqref="B51:C57">
    <cfRule type="duplicateValues" dxfId="340" priority="3301"/>
    <cfRule type="duplicateValues" dxfId="339" priority="3300"/>
    <cfRule type="duplicateValues" dxfId="338" priority="3299"/>
    <cfRule type="duplicateValues" dxfId="337" priority="3296"/>
    <cfRule type="duplicateValues" dxfId="336" priority="3295"/>
    <cfRule type="duplicateValues" dxfId="335" priority="3298"/>
    <cfRule type="duplicateValues" dxfId="334" priority="3297"/>
  </conditionalFormatting>
  <conditionalFormatting sqref="B58:C58">
    <cfRule type="duplicateValues" dxfId="333" priority="208"/>
    <cfRule type="duplicateValues" dxfId="332" priority="205"/>
    <cfRule type="duplicateValues" dxfId="331" priority="212"/>
    <cfRule type="duplicateValues" dxfId="330" priority="211"/>
    <cfRule type="duplicateValues" dxfId="329" priority="210"/>
    <cfRule type="duplicateValues" dxfId="328" priority="209"/>
    <cfRule type="duplicateValues" dxfId="327" priority="207"/>
    <cfRule type="duplicateValues" dxfId="326" priority="206"/>
  </conditionalFormatting>
  <conditionalFormatting sqref="B66:C66">
    <cfRule type="duplicateValues" dxfId="325" priority="176"/>
    <cfRule type="duplicateValues" dxfId="324" priority="180"/>
    <cfRule type="duplicateValues" dxfId="323" priority="179"/>
    <cfRule type="duplicateValues" dxfId="322" priority="178"/>
    <cfRule type="duplicateValues" dxfId="321" priority="177"/>
    <cfRule type="duplicateValues" dxfId="320" priority="175"/>
    <cfRule type="duplicateValues" dxfId="319" priority="174"/>
    <cfRule type="duplicateValues" dxfId="318" priority="173"/>
  </conditionalFormatting>
  <conditionalFormatting sqref="B67:C73">
    <cfRule type="duplicateValues" dxfId="317" priority="575"/>
    <cfRule type="duplicateValues" dxfId="316" priority="574"/>
    <cfRule type="duplicateValues" dxfId="315" priority="578"/>
    <cfRule type="duplicateValues" dxfId="314" priority="577"/>
    <cfRule type="duplicateValues" dxfId="313" priority="576"/>
    <cfRule type="duplicateValues" dxfId="312" priority="573"/>
    <cfRule type="duplicateValues" dxfId="311" priority="572"/>
  </conditionalFormatting>
  <conditionalFormatting sqref="B74:C74">
    <cfRule type="duplicateValues" dxfId="310" priority="381"/>
    <cfRule type="duplicateValues" dxfId="309" priority="387"/>
    <cfRule type="duplicateValues" dxfId="308" priority="384"/>
    <cfRule type="duplicateValues" dxfId="307" priority="385"/>
    <cfRule type="duplicateValues" dxfId="306" priority="382"/>
    <cfRule type="duplicateValues" dxfId="305" priority="388"/>
    <cfRule type="duplicateValues" dxfId="304" priority="383"/>
    <cfRule type="duplicateValues" dxfId="303" priority="386"/>
  </conditionalFormatting>
  <conditionalFormatting sqref="B82:C82">
    <cfRule type="duplicateValues" dxfId="302" priority="254"/>
    <cfRule type="duplicateValues" dxfId="301" priority="258"/>
    <cfRule type="duplicateValues" dxfId="300" priority="257"/>
    <cfRule type="duplicateValues" dxfId="299" priority="259"/>
    <cfRule type="duplicateValues" dxfId="298" priority="260"/>
    <cfRule type="duplicateValues" dxfId="297" priority="255"/>
    <cfRule type="duplicateValues" dxfId="296" priority="253"/>
    <cfRule type="duplicateValues" dxfId="295" priority="256"/>
  </conditionalFormatting>
  <conditionalFormatting sqref="B83:C87">
    <cfRule type="duplicateValues" dxfId="294" priority="3555"/>
    <cfRule type="duplicateValues" dxfId="293" priority="3554"/>
    <cfRule type="duplicateValues" dxfId="292" priority="3553"/>
    <cfRule type="duplicateValues" dxfId="291" priority="3552"/>
    <cfRule type="duplicateValues" dxfId="290" priority="3551"/>
    <cfRule type="duplicateValues" dxfId="289" priority="3550"/>
    <cfRule type="duplicateValues" dxfId="288" priority="3549"/>
  </conditionalFormatting>
  <conditionalFormatting sqref="B88:C88">
    <cfRule type="duplicateValues" dxfId="287" priority="365"/>
    <cfRule type="duplicateValues" dxfId="286" priority="366"/>
    <cfRule type="duplicateValues" dxfId="285" priority="372"/>
    <cfRule type="duplicateValues" dxfId="284" priority="371"/>
    <cfRule type="duplicateValues" dxfId="283" priority="370"/>
    <cfRule type="duplicateValues" dxfId="282" priority="369"/>
    <cfRule type="duplicateValues" dxfId="281" priority="368"/>
    <cfRule type="duplicateValues" dxfId="280" priority="367"/>
  </conditionalFormatting>
  <conditionalFormatting sqref="B96:C96">
    <cfRule type="duplicateValues" dxfId="279" priority="294"/>
    <cfRule type="duplicateValues" dxfId="278" priority="295"/>
    <cfRule type="duplicateValues" dxfId="277" priority="296"/>
    <cfRule type="duplicateValues" dxfId="276" priority="293"/>
    <cfRule type="duplicateValues" dxfId="275" priority="297"/>
    <cfRule type="duplicateValues" dxfId="274" priority="298"/>
    <cfRule type="duplicateValues" dxfId="273" priority="299"/>
    <cfRule type="duplicateValues" dxfId="272" priority="300"/>
  </conditionalFormatting>
  <conditionalFormatting sqref="B97:C103">
    <cfRule type="duplicateValues" dxfId="271" priority="126"/>
    <cfRule type="duplicateValues" dxfId="270" priority="127"/>
    <cfRule type="duplicateValues" dxfId="269" priority="128"/>
    <cfRule type="duplicateValues" dxfId="268" priority="129"/>
    <cfRule type="duplicateValues" dxfId="267" priority="130"/>
    <cfRule type="duplicateValues" dxfId="266" priority="131"/>
    <cfRule type="duplicateValues" dxfId="265" priority="132"/>
  </conditionalFormatting>
  <conditionalFormatting sqref="B104:C104">
    <cfRule type="duplicateValues" dxfId="264" priority="124"/>
    <cfRule type="duplicateValues" dxfId="263" priority="121"/>
    <cfRule type="duplicateValues" dxfId="262" priority="120"/>
    <cfRule type="duplicateValues" dxfId="261" priority="119"/>
    <cfRule type="duplicateValues" dxfId="260" priority="122"/>
    <cfRule type="duplicateValues" dxfId="259" priority="123"/>
    <cfRule type="duplicateValues" dxfId="258" priority="118"/>
    <cfRule type="duplicateValues" dxfId="257" priority="125"/>
  </conditionalFormatting>
  <conditionalFormatting sqref="B110:C111 B150:C152">
    <cfRule type="duplicateValues" dxfId="256" priority="4407"/>
    <cfRule type="duplicateValues" dxfId="255" priority="4411"/>
    <cfRule type="duplicateValues" dxfId="254" priority="4410"/>
    <cfRule type="duplicateValues" dxfId="253" priority="4405"/>
    <cfRule type="duplicateValues" dxfId="252" priority="4409"/>
    <cfRule type="duplicateValues" dxfId="251" priority="4408"/>
    <cfRule type="duplicateValues" dxfId="250" priority="4406"/>
  </conditionalFormatting>
  <conditionalFormatting sqref="B112:C112">
    <cfRule type="duplicateValues" dxfId="249" priority="444"/>
    <cfRule type="duplicateValues" dxfId="248" priority="443"/>
    <cfRule type="duplicateValues" dxfId="247" priority="442"/>
    <cfRule type="duplicateValues" dxfId="246" priority="441"/>
    <cfRule type="duplicateValues" dxfId="245" priority="438"/>
    <cfRule type="duplicateValues" dxfId="244" priority="439"/>
    <cfRule type="duplicateValues" dxfId="243" priority="440"/>
    <cfRule type="duplicateValues" dxfId="242" priority="437"/>
  </conditionalFormatting>
  <conditionalFormatting sqref="B118:C119">
    <cfRule type="duplicateValues" dxfId="241" priority="111"/>
    <cfRule type="duplicateValues" dxfId="240" priority="112"/>
    <cfRule type="duplicateValues" dxfId="239" priority="113"/>
    <cfRule type="duplicateValues" dxfId="238" priority="117"/>
    <cfRule type="duplicateValues" dxfId="237" priority="116"/>
    <cfRule type="duplicateValues" dxfId="236" priority="115"/>
    <cfRule type="duplicateValues" dxfId="235" priority="114"/>
  </conditionalFormatting>
  <conditionalFormatting sqref="B120:C120">
    <cfRule type="duplicateValues" dxfId="234" priority="106"/>
    <cfRule type="duplicateValues" dxfId="233" priority="105"/>
    <cfRule type="duplicateValues" dxfId="232" priority="104"/>
    <cfRule type="duplicateValues" dxfId="231" priority="103"/>
    <cfRule type="duplicateValues" dxfId="230" priority="108"/>
    <cfRule type="duplicateValues" dxfId="229" priority="109"/>
    <cfRule type="duplicateValues" dxfId="228" priority="110"/>
    <cfRule type="duplicateValues" dxfId="227" priority="107"/>
  </conditionalFormatting>
  <conditionalFormatting sqref="B128:C128">
    <cfRule type="duplicateValues" dxfId="226" priority="329"/>
    <cfRule type="duplicateValues" dxfId="225" priority="330"/>
    <cfRule type="duplicateValues" dxfId="224" priority="331"/>
    <cfRule type="duplicateValues" dxfId="223" priority="332"/>
    <cfRule type="duplicateValues" dxfId="222" priority="327"/>
    <cfRule type="duplicateValues" dxfId="221" priority="326"/>
    <cfRule type="duplicateValues" dxfId="220" priority="325"/>
    <cfRule type="duplicateValues" dxfId="219" priority="328"/>
  </conditionalFormatting>
  <conditionalFormatting sqref="B129:C135">
    <cfRule type="duplicateValues" dxfId="218" priority="102"/>
    <cfRule type="duplicateValues" dxfId="217" priority="97"/>
    <cfRule type="duplicateValues" dxfId="216" priority="98"/>
    <cfRule type="duplicateValues" dxfId="215" priority="96"/>
    <cfRule type="duplicateValues" dxfId="214" priority="99"/>
    <cfRule type="duplicateValues" dxfId="213" priority="101"/>
    <cfRule type="duplicateValues" dxfId="212" priority="100"/>
  </conditionalFormatting>
  <conditionalFormatting sqref="B136:C136">
    <cfRule type="duplicateValues" dxfId="211" priority="88"/>
    <cfRule type="duplicateValues" dxfId="210" priority="89"/>
    <cfRule type="duplicateValues" dxfId="209" priority="95"/>
    <cfRule type="duplicateValues" dxfId="208" priority="94"/>
    <cfRule type="duplicateValues" dxfId="207" priority="90"/>
    <cfRule type="duplicateValues" dxfId="206" priority="93"/>
    <cfRule type="duplicateValues" dxfId="205" priority="91"/>
    <cfRule type="duplicateValues" dxfId="204" priority="92"/>
  </conditionalFormatting>
  <conditionalFormatting sqref="B137:C143">
    <cfRule type="duplicateValues" dxfId="203" priority="564"/>
    <cfRule type="duplicateValues" dxfId="202" priority="565"/>
    <cfRule type="duplicateValues" dxfId="201" priority="567"/>
    <cfRule type="duplicateValues" dxfId="200" priority="568"/>
    <cfRule type="duplicateValues" dxfId="199" priority="569"/>
    <cfRule type="duplicateValues" dxfId="198" priority="570"/>
    <cfRule type="duplicateValues" dxfId="197" priority="566"/>
  </conditionalFormatting>
  <conditionalFormatting sqref="B144:C144">
    <cfRule type="duplicateValues" dxfId="196" priority="373"/>
    <cfRule type="duplicateValues" dxfId="195" priority="374"/>
    <cfRule type="duplicateValues" dxfId="194" priority="375"/>
    <cfRule type="duplicateValues" dxfId="193" priority="376"/>
    <cfRule type="duplicateValues" dxfId="192" priority="377"/>
    <cfRule type="duplicateValues" dxfId="191" priority="378"/>
    <cfRule type="duplicateValues" dxfId="190" priority="379"/>
    <cfRule type="duplicateValues" dxfId="189" priority="380"/>
  </conditionalFormatting>
  <conditionalFormatting sqref="B156:C158 B64:C65">
    <cfRule type="duplicateValues" dxfId="188" priority="3918"/>
    <cfRule type="duplicateValues" dxfId="187" priority="3919"/>
    <cfRule type="duplicateValues" dxfId="186" priority="3920"/>
    <cfRule type="duplicateValues" dxfId="185" priority="3921"/>
    <cfRule type="duplicateValues" dxfId="184" priority="3922"/>
    <cfRule type="duplicateValues" dxfId="183" priority="3917"/>
    <cfRule type="duplicateValues" dxfId="182" priority="3916"/>
  </conditionalFormatting>
  <conditionalFormatting sqref="B156:C158">
    <cfRule type="duplicateValues" dxfId="181" priority="3915"/>
  </conditionalFormatting>
  <conditionalFormatting sqref="B159:C159">
    <cfRule type="duplicateValues" dxfId="180" priority="191"/>
    <cfRule type="duplicateValues" dxfId="179" priority="190"/>
    <cfRule type="duplicateValues" dxfId="178" priority="189"/>
    <cfRule type="duplicateValues" dxfId="177" priority="192"/>
    <cfRule type="duplicateValues" dxfId="176" priority="195"/>
    <cfRule type="duplicateValues" dxfId="175" priority="194"/>
    <cfRule type="duplicateValues" dxfId="174" priority="193"/>
    <cfRule type="duplicateValues" dxfId="173" priority="196"/>
  </conditionalFormatting>
  <conditionalFormatting sqref="B165:C166">
    <cfRule type="duplicateValues" dxfId="172" priority="775"/>
    <cfRule type="duplicateValues" dxfId="171" priority="774"/>
    <cfRule type="duplicateValues" dxfId="170" priority="776"/>
  </conditionalFormatting>
  <conditionalFormatting sqref="B167:C167">
    <cfRule type="duplicateValues" dxfId="169" priority="2243"/>
    <cfRule type="duplicateValues" dxfId="168" priority="2245"/>
    <cfRule type="duplicateValues" dxfId="167" priority="2246"/>
    <cfRule type="duplicateValues" dxfId="166" priority="2247"/>
    <cfRule type="duplicateValues" dxfId="165" priority="2248"/>
    <cfRule type="duplicateValues" dxfId="164" priority="2249"/>
    <cfRule type="duplicateValues" dxfId="163" priority="2250"/>
    <cfRule type="duplicateValues" dxfId="162" priority="2244"/>
  </conditionalFormatting>
  <conditionalFormatting sqref="B169:C169">
    <cfRule type="duplicateValues" dxfId="161" priority="18"/>
    <cfRule type="duplicateValues" dxfId="160" priority="19"/>
    <cfRule type="duplicateValues" dxfId="159" priority="20"/>
    <cfRule type="duplicateValues" dxfId="158" priority="17"/>
  </conditionalFormatting>
  <conditionalFormatting sqref="B173:C173">
    <cfRule type="duplicateValues" dxfId="157" priority="266"/>
    <cfRule type="duplicateValues" dxfId="156" priority="267"/>
    <cfRule type="duplicateValues" dxfId="155" priority="268"/>
    <cfRule type="duplicateValues" dxfId="154" priority="261"/>
    <cfRule type="duplicateValues" dxfId="153" priority="265"/>
    <cfRule type="duplicateValues" dxfId="152" priority="264"/>
    <cfRule type="duplicateValues" dxfId="151" priority="262"/>
    <cfRule type="duplicateValues" dxfId="150" priority="263"/>
  </conditionalFormatting>
  <conditionalFormatting sqref="B177:C177">
    <cfRule type="duplicateValues" dxfId="149" priority="315"/>
    <cfRule type="duplicateValues" dxfId="148" priority="309"/>
    <cfRule type="duplicateValues" dxfId="147" priority="316"/>
    <cfRule type="duplicateValues" dxfId="146" priority="314"/>
    <cfRule type="duplicateValues" dxfId="145" priority="313"/>
    <cfRule type="duplicateValues" dxfId="144" priority="312"/>
    <cfRule type="duplicateValues" dxfId="143" priority="311"/>
    <cfRule type="duplicateValues" dxfId="142" priority="310"/>
  </conditionalFormatting>
  <conditionalFormatting sqref="B178:C182">
    <cfRule type="duplicateValues" dxfId="141" priority="3802"/>
    <cfRule type="duplicateValues" dxfId="140" priority="3803"/>
    <cfRule type="duplicateValues" dxfId="139" priority="3804"/>
    <cfRule type="duplicateValues" dxfId="138" priority="3805"/>
    <cfRule type="duplicateValues" dxfId="137" priority="3806"/>
    <cfRule type="duplicateValues" dxfId="136" priority="3801"/>
    <cfRule type="duplicateValues" dxfId="135" priority="3807"/>
  </conditionalFormatting>
  <conditionalFormatting sqref="B183:C183">
    <cfRule type="duplicateValues" dxfId="134" priority="80"/>
    <cfRule type="duplicateValues" dxfId="133" priority="75"/>
    <cfRule type="duplicateValues" dxfId="132" priority="79"/>
    <cfRule type="duplicateValues" dxfId="131" priority="78"/>
    <cfRule type="duplicateValues" dxfId="130" priority="77"/>
    <cfRule type="duplicateValues" dxfId="129" priority="76"/>
    <cfRule type="duplicateValues" dxfId="128" priority="74"/>
    <cfRule type="duplicateValues" dxfId="127" priority="73"/>
  </conditionalFormatting>
  <conditionalFormatting sqref="B188:C189 B80:C81 B32:C33 B170:C172">
    <cfRule type="duplicateValues" dxfId="126" priority="780"/>
    <cfRule type="duplicateValues" dxfId="125" priority="782"/>
    <cfRule type="duplicateValues" dxfId="124" priority="781"/>
  </conditionalFormatting>
  <conditionalFormatting sqref="B188:C189 B170:C172">
    <cfRule type="duplicateValues" dxfId="123" priority="787"/>
  </conditionalFormatting>
  <conditionalFormatting sqref="B190:C190">
    <cfRule type="duplicateValues" dxfId="122" priority="275"/>
    <cfRule type="duplicateValues" dxfId="121" priority="276"/>
    <cfRule type="duplicateValues" dxfId="120" priority="269"/>
    <cfRule type="duplicateValues" dxfId="119" priority="270"/>
    <cfRule type="duplicateValues" dxfId="118" priority="271"/>
    <cfRule type="duplicateValues" dxfId="117" priority="272"/>
    <cfRule type="duplicateValues" dxfId="116" priority="273"/>
    <cfRule type="duplicateValues" dxfId="115" priority="274"/>
  </conditionalFormatting>
  <conditionalFormatting sqref="B191:C193 B176:C176 B126:C127 B94:C95 B48:C49">
    <cfRule type="duplicateValues" dxfId="114" priority="5030"/>
    <cfRule type="duplicateValues" dxfId="113" priority="5036"/>
    <cfRule type="duplicateValues" dxfId="112" priority="5035"/>
    <cfRule type="duplicateValues" dxfId="111" priority="5034"/>
    <cfRule type="duplicateValues" dxfId="110" priority="5033"/>
    <cfRule type="duplicateValues" dxfId="109" priority="5032"/>
    <cfRule type="duplicateValues" dxfId="108" priority="5031"/>
  </conditionalFormatting>
  <conditionalFormatting sqref="B191:C193 B176:C176">
    <cfRule type="duplicateValues" dxfId="107" priority="5065"/>
  </conditionalFormatting>
  <conditionalFormatting sqref="B194:C194">
    <cfRule type="duplicateValues" dxfId="106" priority="317"/>
    <cfRule type="duplicateValues" dxfId="105" priority="324"/>
    <cfRule type="duplicateValues" dxfId="104" priority="323"/>
    <cfRule type="duplicateValues" dxfId="103" priority="322"/>
    <cfRule type="duplicateValues" dxfId="102" priority="321"/>
    <cfRule type="duplicateValues" dxfId="101" priority="318"/>
    <cfRule type="duplicateValues" dxfId="100" priority="319"/>
    <cfRule type="duplicateValues" dxfId="99" priority="320"/>
  </conditionalFormatting>
  <conditionalFormatting sqref="B195:C201">
    <cfRule type="duplicateValues" dxfId="98" priority="3400"/>
    <cfRule type="duplicateValues" dxfId="97" priority="3401"/>
    <cfRule type="duplicateValues" dxfId="96" priority="3402"/>
    <cfRule type="duplicateValues" dxfId="95" priority="3399"/>
    <cfRule type="duplicateValues" dxfId="94" priority="3403"/>
    <cfRule type="duplicateValues" dxfId="93" priority="3398"/>
    <cfRule type="duplicateValues" dxfId="92" priority="3404"/>
  </conditionalFormatting>
  <conditionalFormatting sqref="B202:C202">
    <cfRule type="duplicateValues" dxfId="91" priority="134"/>
    <cfRule type="duplicateValues" dxfId="90" priority="139"/>
    <cfRule type="duplicateValues" dxfId="89" priority="140"/>
    <cfRule type="duplicateValues" dxfId="88" priority="138"/>
    <cfRule type="duplicateValues" dxfId="87" priority="137"/>
    <cfRule type="duplicateValues" dxfId="86" priority="136"/>
    <cfRule type="duplicateValues" dxfId="85" priority="135"/>
    <cfRule type="duplicateValues" dxfId="84" priority="133"/>
  </conditionalFormatting>
  <conditionalFormatting sqref="B203:C203">
    <cfRule type="duplicateValues" dxfId="83" priority="5079"/>
    <cfRule type="duplicateValues" dxfId="82" priority="5080"/>
    <cfRule type="duplicateValues" dxfId="81" priority="5081"/>
    <cfRule type="duplicateValues" dxfId="80" priority="5077"/>
    <cfRule type="duplicateValues" dxfId="79" priority="5076"/>
    <cfRule type="duplicateValues" dxfId="78" priority="5075"/>
    <cfRule type="duplicateValues" dxfId="77" priority="5082"/>
    <cfRule type="duplicateValues" dxfId="76" priority="5078"/>
  </conditionalFormatting>
  <conditionalFormatting sqref="B204:C205">
    <cfRule type="duplicateValues" dxfId="75" priority="644"/>
    <cfRule type="duplicateValues" dxfId="74" priority="642"/>
    <cfRule type="duplicateValues" dxfId="73" priority="645"/>
  </conditionalFormatting>
  <conditionalFormatting sqref="B206:C206">
    <cfRule type="duplicateValues" dxfId="72" priority="4288"/>
    <cfRule type="duplicateValues" dxfId="71" priority="4285"/>
    <cfRule type="duplicateValues" dxfId="70" priority="4286"/>
    <cfRule type="duplicateValues" dxfId="69" priority="4287"/>
    <cfRule type="duplicateValues" dxfId="68" priority="4290"/>
    <cfRule type="duplicateValues" dxfId="67" priority="4283"/>
    <cfRule type="duplicateValues" dxfId="66" priority="4284"/>
    <cfRule type="duplicateValues" dxfId="65" priority="4289"/>
  </conditionalFormatting>
  <conditionalFormatting sqref="B207:C213">
    <cfRule type="duplicateValues" dxfId="64" priority="4238"/>
    <cfRule type="duplicateValues" dxfId="63" priority="4239"/>
    <cfRule type="duplicateValues" dxfId="62" priority="4240"/>
    <cfRule type="duplicateValues" dxfId="61" priority="4237"/>
    <cfRule type="duplicateValues" dxfId="60" priority="4235"/>
    <cfRule type="duplicateValues" dxfId="59" priority="4234"/>
    <cfRule type="duplicateValues" dxfId="58" priority="4236"/>
  </conditionalFormatting>
  <conditionalFormatting sqref="B214:C214">
    <cfRule type="duplicateValues" dxfId="57" priority="355"/>
    <cfRule type="duplicateValues" dxfId="56" priority="352"/>
    <cfRule type="duplicateValues" dxfId="55" priority="354"/>
    <cfRule type="duplicateValues" dxfId="54" priority="356"/>
    <cfRule type="duplicateValues" dxfId="53" priority="353"/>
    <cfRule type="duplicateValues" dxfId="52" priority="349"/>
    <cfRule type="duplicateValues" dxfId="51" priority="350"/>
    <cfRule type="duplicateValues" dxfId="50" priority="351"/>
  </conditionalFormatting>
  <conditionalFormatting sqref="B218:C218 B40:C41">
    <cfRule type="duplicateValues" dxfId="49" priority="4247"/>
    <cfRule type="duplicateValues" dxfId="48" priority="4246"/>
    <cfRule type="duplicateValues" dxfId="47" priority="4248"/>
    <cfRule type="duplicateValues" dxfId="46" priority="4245"/>
    <cfRule type="duplicateValues" dxfId="45" priority="4242"/>
    <cfRule type="duplicateValues" dxfId="44" priority="4243"/>
    <cfRule type="duplicateValues" dxfId="43" priority="4244"/>
  </conditionalFormatting>
  <conditionalFormatting sqref="B218:C218">
    <cfRule type="duplicateValues" dxfId="42" priority="4241"/>
  </conditionalFormatting>
  <conditionalFormatting sqref="B219:C219">
    <cfRule type="duplicateValues" dxfId="41" priority="5123"/>
    <cfRule type="duplicateValues" dxfId="40" priority="5116"/>
    <cfRule type="duplicateValues" dxfId="39" priority="5122"/>
    <cfRule type="duplicateValues" dxfId="38" priority="5121"/>
    <cfRule type="duplicateValues" dxfId="37" priority="5120"/>
    <cfRule type="duplicateValues" dxfId="36" priority="5119"/>
    <cfRule type="duplicateValues" dxfId="35" priority="5118"/>
    <cfRule type="duplicateValues" dxfId="34" priority="5117"/>
  </conditionalFormatting>
  <conditionalFormatting sqref="B223:C224">
    <cfRule type="duplicateValues" dxfId="33" priority="14"/>
    <cfRule type="duplicateValues" dxfId="32" priority="9"/>
    <cfRule type="duplicateValues" dxfId="31" priority="10"/>
    <cfRule type="duplicateValues" dxfId="30" priority="11"/>
    <cfRule type="duplicateValues" dxfId="29" priority="12"/>
    <cfRule type="duplicateValues" dxfId="28" priority="13"/>
    <cfRule type="duplicateValues" dxfId="27" priority="15"/>
    <cfRule type="duplicateValues" dxfId="26" priority="16"/>
  </conditionalFormatting>
  <conditionalFormatting sqref="B225:C225">
    <cfRule type="duplicateValues" dxfId="25" priority="1"/>
    <cfRule type="duplicateValues" dxfId="24" priority="6"/>
    <cfRule type="duplicateValues" dxfId="23" priority="8"/>
    <cfRule type="duplicateValues" dxfId="22" priority="2"/>
    <cfRule type="duplicateValues" dxfId="21" priority="3"/>
    <cfRule type="duplicateValues" dxfId="20" priority="7"/>
    <cfRule type="duplicateValues" dxfId="19" priority="4"/>
    <cfRule type="duplicateValues" dxfId="18" priority="5"/>
  </conditionalFormatting>
  <conditionalFormatting sqref="L27:M27">
    <cfRule type="duplicateValues" dxfId="17" priority="52"/>
    <cfRule type="duplicateValues" dxfId="16" priority="53"/>
    <cfRule type="duplicateValues" dxfId="15" priority="54"/>
  </conditionalFormatting>
  <conditionalFormatting sqref="L28:M28">
    <cfRule type="duplicateValues" dxfId="14" priority="49"/>
    <cfRule type="duplicateValues" dxfId="13" priority="51"/>
    <cfRule type="duplicateValues" dxfId="12" priority="50"/>
  </conditionalFormatting>
  <conditionalFormatting sqref="L29:M29">
    <cfRule type="duplicateValues" dxfId="11" priority="46"/>
    <cfRule type="duplicateValues" dxfId="10" priority="48"/>
    <cfRule type="duplicateValues" dxfId="9" priority="47"/>
  </conditionalFormatting>
  <conditionalFormatting sqref="L30:M30">
    <cfRule type="duplicateValues" dxfId="8" priority="45"/>
    <cfRule type="duplicateValues" dxfId="7" priority="43"/>
    <cfRule type="duplicateValues" dxfId="6" priority="44"/>
  </conditionalFormatting>
  <conditionalFormatting sqref="L31:M31">
    <cfRule type="duplicateValues" dxfId="5" priority="41"/>
    <cfRule type="duplicateValues" dxfId="4" priority="42"/>
    <cfRule type="duplicateValues" dxfId="3" priority="40"/>
  </conditionalFormatting>
  <conditionalFormatting sqref="L32:M33">
    <cfRule type="duplicateValues" dxfId="2" priority="55"/>
    <cfRule type="duplicateValues" dxfId="1" priority="56"/>
    <cfRule type="duplicateValues" dxfId="0" priority="57"/>
  </conditionalFormatting>
  <printOptions horizontalCentered="1"/>
  <pageMargins left="0.51181102362204722" right="0.31496062992125984" top="0.78740157480314965" bottom="0.59055118110236227" header="0.31496062992125984" footer="0.31496062992125984"/>
  <pageSetup paperSize="9" scale="87" fitToHeight="0" orientation="portrait" r:id="rId1"/>
  <headerFooter>
    <oddHeader>&amp;L&amp;"Arial,Standard"&amp;8Angebot freibleibend - Zwischenverkauf vorbehalten
free offer - subject to being unsold</oddHeader>
    <oddFooter>&amp;L&amp;"Arial,Standard"&amp;8ca. Mengen
approx. quantities&amp;C&amp;"Arial,Standard"&amp;9Seite &amp;P von &amp;N</oddFooter>
  </headerFooter>
  <rowBreaks count="7" manualBreakCount="7">
    <brk id="50" max="7" man="1"/>
    <brk id="96" max="7" man="1"/>
    <brk id="144" max="7" man="1"/>
    <brk id="190" max="7" man="1"/>
    <brk id="227" max="7" man="1"/>
    <brk id="240" max="7" man="1"/>
    <brk id="241" max="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9E717FBB802431488339C172C7B27639" ma:contentTypeVersion="18" ma:contentTypeDescription="Ein neues Dokument erstellen." ma:contentTypeScope="" ma:versionID="ef190e86d7d43694d72c3c24a2f2e3f1">
  <xsd:schema xmlns:xsd="http://www.w3.org/2001/XMLSchema" xmlns:xs="http://www.w3.org/2001/XMLSchema" xmlns:p="http://schemas.microsoft.com/office/2006/metadata/properties" xmlns:ns1="http://schemas.microsoft.com/sharepoint/v3" xmlns:ns2="64f2518f-f31f-4d0e-9de7-bec842513f2c" xmlns:ns3="259f94c8-9272-40b0-800f-9a3e15ac6cba" targetNamespace="http://schemas.microsoft.com/office/2006/metadata/properties" ma:root="true" ma:fieldsID="0370f3fc0c1fbd44c5866478bd2e82b8" ns1:_="" ns2:_="" ns3:_="">
    <xsd:import namespace="http://schemas.microsoft.com/sharepoint/v3"/>
    <xsd:import namespace="64f2518f-f31f-4d0e-9de7-bec842513f2c"/>
    <xsd:import namespace="259f94c8-9272-40b0-800f-9a3e15ac6c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4" nillable="true" ma:displayName="Eigenschaften der einheitlichen Compliancerichtlinie" ma:hidden="true" ma:internalName="_ip_UnifiedCompliancePolicyProperties">
      <xsd:simpleType>
        <xsd:restriction base="dms:Note"/>
      </xsd:simpleType>
    </xsd:element>
    <xsd:element name="_ip_UnifiedCompliancePolicyUIAction" ma:index="25" nillable="true" ma:displayName="UI-Aktion der einheitlichen Compliancerichtlinie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4f2518f-f31f-4d0e-9de7-bec842513f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Bildmarkierungen" ma:readOnly="false" ma:fieldId="{5cf76f15-5ced-4ddc-b409-7134ff3c332f}" ma:taxonomyMulti="true" ma:sspId="76236bc6-55f1-41ef-9ba7-f4d7c518771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9f94c8-9272-40b0-800f-9a3e15ac6cba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7855f8b-f64f-4ade-9dde-661340479481}" ma:internalName="TaxCatchAll" ma:showField="CatchAllData" ma:web="259f94c8-9272-40b0-800f-9a3e15ac6c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259f94c8-9272-40b0-800f-9a3e15ac6cba" xsi:nil="true"/>
    <_ip_UnifiedCompliancePolicyProperties xmlns="http://schemas.microsoft.com/sharepoint/v3" xsi:nil="true"/>
    <lcf76f155ced4ddcb4097134ff3c332f xmlns="64f2518f-f31f-4d0e-9de7-bec842513f2c">
      <Terms xmlns="http://schemas.microsoft.com/office/infopath/2007/PartnerControls"/>
    </lcf76f155ced4ddcb4097134ff3c332f>
    <SharedWithUsers xmlns="259f94c8-9272-40b0-800f-9a3e15ac6cba">
      <UserInfo>
        <DisplayName>Frederic Gloth</DisplayName>
        <AccountId>15</AccountId>
        <AccountType/>
      </UserInfo>
    </SharedWithUsers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C910F6-6361-4AA0-ABC3-5D07821FC0B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64f2518f-f31f-4d0e-9de7-bec842513f2c"/>
    <ds:schemaRef ds:uri="259f94c8-9272-40b0-800f-9a3e15ac6cb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43408F-84F9-4AB7-9904-3DA2CEDD5430}">
  <ds:schemaRefs>
    <ds:schemaRef ds:uri="http://schemas.microsoft.com/sharepoint/v3"/>
    <ds:schemaRef ds:uri="http://purl.org/dc/dcmitype/"/>
    <ds:schemaRef ds:uri="http://schemas.openxmlformats.org/package/2006/metadata/core-properties"/>
    <ds:schemaRef ds:uri="http://purl.org/dc/terms/"/>
    <ds:schemaRef ds:uri="http://www.w3.org/XML/1998/namespace"/>
    <ds:schemaRef ds:uri="259f94c8-9272-40b0-800f-9a3e15ac6cba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microsoft.com/office/infopath/2007/PartnerControls"/>
    <ds:schemaRef ds:uri="64f2518f-f31f-4d0e-9de7-bec842513f2c"/>
  </ds:schemaRefs>
</ds:datastoreItem>
</file>

<file path=customXml/itemProps3.xml><?xml version="1.0" encoding="utf-8"?>
<ds:datastoreItem xmlns:ds="http://schemas.openxmlformats.org/officeDocument/2006/customXml" ds:itemID="{F408D16B-9789-4621-A979-2E3E89F97AD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Phrep</vt:lpstr>
      <vt:lpstr>Phrep!Print_Area</vt:lpstr>
      <vt:lpstr>Phrep!Print_Titles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Dators</cp:lastModifiedBy>
  <cp:revision/>
  <cp:lastPrinted>2024-03-07T14:47:57Z</cp:lastPrinted>
  <dcterms:created xsi:type="dcterms:W3CDTF">2023-03-08T09:27:05Z</dcterms:created>
  <dcterms:modified xsi:type="dcterms:W3CDTF">2024-03-19T14:26:00Z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0x0101009E717FBB802431488339C172C7B27639</vt:lpwstr>
  </property>
  <property fmtid="{D5CDD505-2E9C-101B-9397-08002B2CF9AE}" pid="3" name="MediaServiceImageTags">
    <vt:lpwstr/>
  </property>
</Properties>
</file>